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Q8raWzYcf+lRyNK81hYCGvchIGlqnTRWwtZiZeju5JmaFey0MNOeIjKTBsJ2DKde5dKs1Mr4eG+lkC06lcGsGA==" workbookSaltValue="yR83t0nL+lw5yjHbuE0Fm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T13" i="16"/>
  <c r="AL20" i="20"/>
  <c r="E20" i="20"/>
  <c r="AC20" i="20"/>
  <c r="C10" i="14" l="1"/>
  <c r="K10" i="14" s="1"/>
  <c r="H17" i="2"/>
  <c r="X12" i="21"/>
  <c r="BL9" i="11"/>
  <c r="BG10" i="11"/>
  <c r="P17" i="17"/>
  <c r="BF16" i="11"/>
  <c r="BL12" i="11"/>
  <c r="BK15" i="11"/>
  <c r="BI10" i="11"/>
  <c r="V9" i="11"/>
  <c r="R10" i="21"/>
  <c r="R13" i="21" s="1"/>
  <c r="BG9" i="11"/>
  <c r="BH17" i="11"/>
  <c r="AP17" i="20"/>
  <c r="BW9" i="20"/>
  <c r="BV16" i="16"/>
  <c r="BV15" i="16"/>
  <c r="BU9" i="17"/>
  <c r="BU16" i="17"/>
  <c r="S15" i="16"/>
  <c r="BF12" i="11"/>
  <c r="BL10" i="11"/>
  <c r="Q15" i="17"/>
  <c r="BF15" i="11"/>
  <c r="BH12" i="16"/>
  <c r="BH17" i="16"/>
  <c r="BM16" i="11"/>
  <c r="BF17" i="11"/>
  <c r="S17" i="16"/>
  <c r="V11" i="11"/>
  <c r="Q10" i="21"/>
  <c r="BJ11" i="11"/>
  <c r="BI17" i="11"/>
  <c r="BL11" i="11"/>
  <c r="BM15" i="11"/>
  <c r="BW17" i="20"/>
  <c r="BW16" i="20"/>
  <c r="BW15" i="20"/>
  <c r="BV9" i="16"/>
  <c r="AZ16" i="11"/>
  <c r="BH10" i="16"/>
  <c r="BH11" i="16"/>
  <c r="BU15" i="17"/>
  <c r="BW10" i="20"/>
  <c r="P15" i="17"/>
  <c r="BL15" i="11"/>
  <c r="BM17" i="11"/>
  <c r="BM9" i="11"/>
  <c r="BK10" i="11"/>
  <c r="BG11" i="13"/>
  <c r="BD11" i="13"/>
  <c r="BF16" i="13"/>
  <c r="BG15" i="8"/>
  <c r="K15" i="7" s="1"/>
  <c r="B12" i="6"/>
  <c r="BF11" i="11"/>
  <c r="BL16" i="11"/>
  <c r="BJ16" i="11"/>
  <c r="AQ12" i="21"/>
  <c r="BH16" i="11"/>
  <c r="BG16" i="11"/>
  <c r="BH11" i="11"/>
  <c r="BK16" i="11"/>
  <c r="BJ10" i="11"/>
  <c r="AQ10" i="21"/>
  <c r="BI9" i="11"/>
  <c r="BH10" i="11"/>
  <c r="Q17" i="17"/>
  <c r="BG12" i="11"/>
  <c r="BU12" i="17"/>
  <c r="BU17" i="17"/>
  <c r="BV10" i="16"/>
  <c r="BW11" i="20"/>
  <c r="BV11" i="16"/>
  <c r="BW12" i="20"/>
  <c r="BV12" i="16"/>
  <c r="BU10" i="17"/>
  <c r="BV17" i="16"/>
  <c r="BU11" i="17"/>
  <c r="T15" i="16"/>
  <c r="T17" i="16"/>
  <c r="BK17" i="11"/>
  <c r="R17" i="20"/>
  <c r="R18" i="20" s="1"/>
  <c r="BG15" i="11"/>
  <c r="AP15" i="20"/>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<sst xmlns="http://schemas.openxmlformats.org/spreadsheetml/2006/main" count="2094" uniqueCount="913">
  <si>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</si>
  <si>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</si>
  <si>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</si>
  <si>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</si>
  <si>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</si>
  <si>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</si>
  <si>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</si>
  <si>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</si>
  <si>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</si>
  <si>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</si>
  <si>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</si>
  <si>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</si>
  <si>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</si>
  <si>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</si>
  <si>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</si>
  <si>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</si>
  <si>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</si>
  <si>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</si>
  <si>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</si>
  <si>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</si>
  <si>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</si>
  <si>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</si>
  <si>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</si>
  <si>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</si>
  <si>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</si>
  <si>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</si>
  <si>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</si>
  <si>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</si>
  <si>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</si>
  <si>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</si>
  <si>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</si>
  <si>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</si>
  <si>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</si>
  <si>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</si>
  <si>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</si>
  <si>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</si>
  <si>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</si>
  <si>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</si>
  <si>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</si>
  <si>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</si>
  <si>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</si>
  <si>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</si>
  <si>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</si>
  <si>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</si>
  <si>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</si>
  <si>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</si>
  <si>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</si>
  <si>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</si>
  <si>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</si>
  <si>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</si>
  <si>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</si>
  <si>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</si>
  <si>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</si>
  <si>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</si>
  <si>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</si>
  <si>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</si>
  <si>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</si>
  <si>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</si>
  <si>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</si>
  <si>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</si>
  <si>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</si>
  <si>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</si>
  <si>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</si>
  <si>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</si>
  <si>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</si>
  <si>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</si>
  <si>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</si>
  <si>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</si>
  <si>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</si>
  <si>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</si>
  <si>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</si>
  <si>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</si>
  <si>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</si>
  <si>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</si>
  <si>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</si>
  <si>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</si>
  <si>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</si>
  <si>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</si>
  <si>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</si>
  <si>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</si>
  <si>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</si>
  <si>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</si>
  <si>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</si>
  <si>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</si>
  <si>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</si>
  <si>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</si>
  <si>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</si>
  <si>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</si>
  <si>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</si>
  <si>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</si>
  <si>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</si>
  <si>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</si>
  <si>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</si>
  <si>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</si>
  <si>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</si>
  <si>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</si>
  <si>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</si>
  <si>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</si>
  <si>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</si>
  <si>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</si>
  <si>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</si>
  <si>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</si>
  <si>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</si>
  <si>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</si>
  <si>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</si>
  <si>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</si>
  <si>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</si>
  <si>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</si>
  <si>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</si>
  <si>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</si>
  <si>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</si>
  <si>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</si>
  <si>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</si>
  <si>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</si>
  <si>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</si>
  <si>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</si>
  <si>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</si>
  <si>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</si>
  <si>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</si>
  <si>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</si>
  <si>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</si>
  <si>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</si>
  <si>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</si>
  <si>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</si>
  <si>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</si>
  <si>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</si>
  <si>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</si>
  <si>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</si>
  <si>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</si>
  <si>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</si>
  <si>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</si>
  <si>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</si>
  <si>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</si>
  <si>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</si>
  <si>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</si>
  <si>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</si>
  <si>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</si>
  <si>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</si>
  <si>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</si>
  <si>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</si>
  <si>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</si>
  <si>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</si>
  <si>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</si>
  <si>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</si>
  <si>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</si>
  <si>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</si>
  <si>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</si>
  <si>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</si>
  <si>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</si>
  <si>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</si>
  <si>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</si>
  <si>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</si>
  <si>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</si>
  <si>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</si>
  <si>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</si>
  <si>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</si>
  <si>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</si>
  <si>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</si>
  <si>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</si>
  <si>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</si>
  <si>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</si>
  <si>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</si>
  <si>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</si>
  <si>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</si>
  <si>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</si>
  <si>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</si>
  <si>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</si>
  <si>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</si>
  <si>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</si>
  <si>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</si>
  <si>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</si>
  <si>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</si>
  <si>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</si>
  <si>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</si>
  <si>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</si>
  <si>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</si>
  <si>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</si>
  <si>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</si>
  <si>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</si>
  <si>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</si>
  <si>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</si>
  <si>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</si>
  <si>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</si>
  <si>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</si>
  <si>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</si>
  <si>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</si>
  <si>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</si>
  <si>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</si>
  <si>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</si>
  <si>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</si>
  <si>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</si>
  <si>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</si>
  <si>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</si>
  <si>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</si>
  <si>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</si>
  <si>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</si>
  <si>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</si>
  <si>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</si>
  <si>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</si>
  <si>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</si>
  <si>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</si>
  <si>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</si>
  <si>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</si>
  <si>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</si>
  <si>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</si>
  <si>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</si>
  <si>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</si>
  <si>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</si>
  <si>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</si>
  <si>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</si>
  <si>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</si>
  <si>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</si>
  <si>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</si>
  <si>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</si>
  <si>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</si>
  <si>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</si>
  <si>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</si>
  <si>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</si>
  <si>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</si>
  <si>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</si>
  <si>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</si>
  <si>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</si>
  <si>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</si>
  <si>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</si>
  <si>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</si>
  <si>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</si>
  <si>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</si>
  <si>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</si>
  <si>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</si>
  <si>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</si>
  <si>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</si>
  <si>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</si>
  <si>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</si>
  <si>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</si>
  <si>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</si>
  <si>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</si>
  <si>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</si>
  <si>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</si>
  <si>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</si>
  <si>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</si>
  <si>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</si>
  <si>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</si>
  <si>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</si>
  <si>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</si>
  <si>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</si>
  <si>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</si>
  <si>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</si>
  <si>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</si>
  <si>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</si>
  <si>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</si>
  <si>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</si>
  <si>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</si>
  <si>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</si>
  <si>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</si>
  <si>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</si>
  <si>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</si>
  <si>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</si>
  <si>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</si>
  <si>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</si>
  <si>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</si>
  <si>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</si>
  <si>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</si>
  <si>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</si>
  <si>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</si>
  <si>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</si>
  <si>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</si>
  <si>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</si>
  <si>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</si>
  <si>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</si>
  <si>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</si>
  <si>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</si>
  <si>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</si>
  <si>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</si>
  <si>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</si>
  <si>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</si>
  <si>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</si>
  <si>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</si>
  <si>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</si>
  <si>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</si>
  <si>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</si>
  <si>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</si>
  <si>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</si>
  <si>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</si>
  <si>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</si>
  <si>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</si>
  <si>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</si>
  <si>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</si>
  <si>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</si>
  <si>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</si>
  <si>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</si>
  <si>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</si>
  <si>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</si>
  <si>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</si>
  <si>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</si>
  <si>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</si>
  <si>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</si>
  <si>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</si>
  <si>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</si>
  <si>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</si>
  <si>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</si>
  <si>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</si>
  <si>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</si>
  <si>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</si>
  <si>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</si>
  <si>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</si>
  <si>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</si>
  <si>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</si>
  <si>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</si>
  <si>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</si>
  <si>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</si>
  <si>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</si>
  <si>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</si>
  <si>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</si>
  <si>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</si>
  <si>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</si>
  <si>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</si>
  <si>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</si>
  <si>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</si>
  <si>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</si>
  <si>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</si>
  <si>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</si>
  <si>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</si>
  <si>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</si>
  <si>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</si>
  <si>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</si>
  <si>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</si>
  <si>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</si>
  <si>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</si>
  <si>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</si>
  <si>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</si>
  <si>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</si>
  <si>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</si>
  <si>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</si>
  <si>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</si>
  <si>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</si>
  <si>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</si>
  <si>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</si>
  <si>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</si>
  <si>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</si>
  <si>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</si>
  <si>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</si>
  <si>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</si>
  <si>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</si>
  <si>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</si>
  <si>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</si>
  <si>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</si>
  <si>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</si>
  <si>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</si>
  <si>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</si>
  <si>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</si>
  <si>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</si>
  <si>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</si>
  <si>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</si>
  <si>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</si>
  <si>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</si>
  <si>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</si>
  <si>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</si>
  <si>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</si>
  <si>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</si>
  <si>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</si>
  <si>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</si>
  <si>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</si>
  <si>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</si>
  <si>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</si>
  <si>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</si>
  <si>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</si>
  <si>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</si>
  <si>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</si>
  <si>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</si>
  <si>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</si>
  <si>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</si>
  <si>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</si>
  <si>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</si>
  <si>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</si>
  <si>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</si>
  <si>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</si>
  <si>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</si>
  <si>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</si>
  <si>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</si>
  <si>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</si>
  <si>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</si>
  <si>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</si>
  <si>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</si>
  <si>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</si>
  <si>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</si>
  <si>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</si>
  <si>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</si>
  <si>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</si>
  <si>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</si>
  <si>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</si>
  <si>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</si>
  <si>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</si>
  <si>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</si>
  <si>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</si>
  <si>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</si>
  <si>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</si>
  <si>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</si>
  <si>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</si>
  <si>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</si>
  <si>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</si>
  <si>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</si>
  <si>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</si>
  <si>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</si>
  <si>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</si>
  <si>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</si>
  <si>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</si>
  <si>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</si>
  <si>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</si>
  <si>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</si>
  <si>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</si>
  <si>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</si>
  <si>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</si>
  <si>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</si>
  <si>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</si>
  <si>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</si>
  <si>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</si>
  <si>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</si>
  <si>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</si>
  <si>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</si>
  <si>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</si>
  <si>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</si>
  <si>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</si>
  <si>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</si>
  <si>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</si>
  <si>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</si>
  <si>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</si>
  <si>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</si>
  <si>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</si>
  <si>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</si>
  <si>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</si>
  <si>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</si>
  <si>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</si>
  <si>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</si>
  <si>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</si>
  <si>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</si>
  <si>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</si>
  <si>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</si>
  <si>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</si>
  <si>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</si>
  <si>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</si>
  <si>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</si>
  <si>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</si>
  <si>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</si>
  <si>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</si>
  <si>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</si>
  <si>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</si>
  <si>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</si>
  <si>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</si>
  <si>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</si>
  <si>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</si>
  <si>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</si>
  <si>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</si>
  <si>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</si>
  <si>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</si>
  <si>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</si>
  <si>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</si>
  <si>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</si>
  <si>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</si>
  <si>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</si>
  <si>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</si>
  <si>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</si>
  <si>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</si>
  <si>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</si>
  <si>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</si>
  <si>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</si>
  <si>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</si>
  <si>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</si>
  <si>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</si>
  <si>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</si>
  <si>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</si>
  <si>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</si>
  <si>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</si>
  <si>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</si>
  <si>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</si>
  <si>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</si>
  <si>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</si>
  <si>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</si>
  <si>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</si>
  <si>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</si>
  <si>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</si>
  <si>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</si>
  <si>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</si>
  <si>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</si>
  <si>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</si>
  <si>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</si>
  <si>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</si>
  <si>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</si>
  <si>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</si>
  <si>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</si>
  <si>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</si>
  <si>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</si>
  <si>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</si>
  <si>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</si>
  <si>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</si>
  <si>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</si>
  <si>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</si>
  <si>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</si>
  <si>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</si>
  <si>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</si>
  <si>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</si>
  <si>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</si>
  <si>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</si>
  <si>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</si>
  <si>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</si>
  <si>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</si>
  <si>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</si>
  <si>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</si>
  <si>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</si>
  <si>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</si>
  <si>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</si>
  <si>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</si>
  <si>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</si>
  <si>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</si>
  <si>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</si>
  <si>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</si>
  <si>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</si>
  <si>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</si>
  <si>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</si>
  <si>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</si>
  <si>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</si>
  <si>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</si>
  <si>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</si>
  <si>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</si>
  <si>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</si>
  <si>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</si>
  <si>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</si>
  <si>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</si>
  <si>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</si>
  <si>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</si>
  <si>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</si>
  <si>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</si>
  <si>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</si>
  <si>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</si>
  <si>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</si>
  <si>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</si>
  <si>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</si>
  <si>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</si>
  <si>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</si>
  <si>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</si>
  <si>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</si>
  <si>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</si>
  <si>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</si>
  <si>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</si>
  <si>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</si>
  <si>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</si>
  <si>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</si>
  <si>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</si>
  <si>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</si>
  <si>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</si>
  <si>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</si>
  <si>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</si>
  <si>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</si>
  <si>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</si>
  <si>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</si>
  <si>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</si>
  <si>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</si>
  <si>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</si>
  <si>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</si>
  <si>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</si>
  <si>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</si>
  <si>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</si>
  <si>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</si>
  <si>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</si>
  <si>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</si>
  <si>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</si>
  <si>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</si>
  <si>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</si>
  <si>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</si>
  <si>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</si>
  <si>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</si>
  <si>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</si>
  <si>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</si>
  <si>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</si>
  <si>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</si>
  <si>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</si>
  <si>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</si>
  <si>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</si>
  <si>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</si>
  <si>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</si>
  <si>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</si>
  <si>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</si>
  <si>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</si>
  <si>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</si>
  <si>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</si>
  <si>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</si>
  <si>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</si>
  <si>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</si>
  <si>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</si>
  <si>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</si>
  <si>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</si>
  <si>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</si>
  <si>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</si>
  <si>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</si>
  <si>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</si>
  <si>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</si>
  <si>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</si>
  <si>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</si>
  <si>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</si>
  <si>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</si>
  <si>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</si>
  <si>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</si>
  <si>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</si>
  <si>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</si>
  <si>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</si>
  <si>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</si>
  <si>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</si>
  <si>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</si>
  <si>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</si>
  <si>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</si>
  <si>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</si>
  <si>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</si>
  <si>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</si>
  <si>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</si>
  <si>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</si>
  <si>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</si>
  <si>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</si>
  <si>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</si>
  <si>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</si>
  <si>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</si>
  <si>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</si>
  <si>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</si>
  <si>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</si>
  <si>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</si>
  <si>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</si>
  <si>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</si>
  <si>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</si>
  <si>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</si>
  <si>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</si>
  <si>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</si>
  <si>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</si>
  <si>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</si>
  <si>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</si>
  <si>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</si>
  <si>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</si>
  <si>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</si>
  <si>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</si>
  <si>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</si>
  <si>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</si>
  <si>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</si>
  <si>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</si>
  <si>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</si>
  <si>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</si>
  <si>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</si>
  <si>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</si>
  <si>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</si>
  <si>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</si>
  <si>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</si>
  <si>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</si>
  <si>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</si>
  <si>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</si>
  <si>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</si>
  <si>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</si>
  <si>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</si>
  <si>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</si>
  <si>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</si>
  <si>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</si>
  <si>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</si>
  <si>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</si>
  <si>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</si>
  <si>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</si>
  <si>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</si>
  <si>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</si>
  <si>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</si>
  <si>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</si>
  <si>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</si>
  <si>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</si>
  <si>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</si>
  <si>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</si>
  <si>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</si>
  <si>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</si>
  <si>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</si>
  <si>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</si>
  <si>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</si>
  <si>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</si>
  <si>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</si>
  <si>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</si>
  <si>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</si>
  <si>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</si>
  <si>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</si>
  <si>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</si>
  <si>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</si>
  <si>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</si>
  <si>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</si>
  <si>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</si>
  <si>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</si>
  <si>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</si>
  <si>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</si>
  <si>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</si>
  <si>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</si>
  <si>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</si>
  <si>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</si>
  <si>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</si>
  <si>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</si>
  <si>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</si>
  <si>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</si>
  <si>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</si>
  <si>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</si>
  <si>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</si>
  <si>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</si>
  <si>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</si>
  <si>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</si>
  <si>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</si>
  <si>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</si>
  <si>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</si>
  <si>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</si>
  <si>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</si>
  <si>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</si>
  <si>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</si>
  <si>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</si>
  <si>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</si>
  <si>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</si>
  <si>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</si>
  <si>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</si>
  <si>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</si>
  <si>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</si>
  <si>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</si>
  <si>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</si>
  <si>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</si>
  <si>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</si>
  <si>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</si>
  <si>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</si>
  <si>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</si>
  <si>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</si>
  <si>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</si>
  <si>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</si>
  <si>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</si>
  <si>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</si>
  <si>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</si>
  <si>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</si>
  <si>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</si>
  <si>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</si>
  <si>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</si>
  <si>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</si>
  <si>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</si>
  <si>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</si>
  <si>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</si>
  <si>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</si>
  <si>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</si>
  <si>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</si>
  <si>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</si>
  <si>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</si>
  <si>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</si>
  <si>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</si>
  <si>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</si>
  <si>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</si>
  <si>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</si>
  <si>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</si>
  <si>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</si>
  <si>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</si>
  <si>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</si>
  <si>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</si>
  <si>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</si>
  <si>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</si>
  <si>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</si>
  <si>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</si>
  <si>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</si>
  <si>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</si>
  <si>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</si>
  <si>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</si>
  <si>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</si>
  <si>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</si>
  <si>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</si>
  <si>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</si>
  <si>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</si>
  <si>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</si>
  <si>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</si>
  <si>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</si>
  <si>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</si>
  <si>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</si>
  <si>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</si>
  <si>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</si>
  <si>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</si>
  <si>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</si>
  <si>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</si>
  <si>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</si>
  <si>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</si>
  <si>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</si>
  <si>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</si>
  <si>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</si>
  <si>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</si>
  <si>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</si>
  <si>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</si>
  <si>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</si>
  <si>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</si>
  <si>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</si>
  <si>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</si>
  <si>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</si>
  <si>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</si>
  <si>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</si>
  <si>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</si>
  <si>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</si>
  <si>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</si>
  <si>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</si>
  <si>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</si>
  <si>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</si>
  <si>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</si>
  <si>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</si>
  <si>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</si>
  <si>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</si>
  <si>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</si>
  <si>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</si>
  <si>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</si>
  <si>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</si>
  <si>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</si>
  <si>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</si>
  <si>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</si>
  <si>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</si>
  <si>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</si>
  <si>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</si>
  <si>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</si>
  <si>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</si>
  <si>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</si>
  <si>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</si>
  <si>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</si>
  <si>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</si>
  <si>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</si>
  <si>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</si>
  <si>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</si>
  <si>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</si>
  <si>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</si>
  <si>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</si>
  <si>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</si>
  <si>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</si>
  <si>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</si>
  <si>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</si>
  <si>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</si>
  <si>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</si>
  <si>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</si>
  <si>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</si>
  <si>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</si>
  <si>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</si>
  <si>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</si>
  <si>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</si>
  <si>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</si>
  <si>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</si>
  <si>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</si>
  <si>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</si>
  <si>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</si>
  <si>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</si>
  <si>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</si>
  <si>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</si>
  <si>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</si>
  <si>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</si>
  <si>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</si>
  <si>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</si>
  <si>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</si>
  <si>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</si>
  <si>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</si>
  <si>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</si>
  <si>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</si>
  <si>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</si>
  <si>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</si>
  <si>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</si>
  <si>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</si>
  <si>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</si>
  <si>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</si>
  <si>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</si>
  <si>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</si>
  <si>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</si>
  <si>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</si>
  <si>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</si>
  <si>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</si>
  <si>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</si>
  <si>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</si>
  <si>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</si>
  <si>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</si>
  <si>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</si>
  <si>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</si>
  <si>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</si>
  <si>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</si>
  <si>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</si>
  <si>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</si>
  <si>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</si>
  <si>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</si>
  <si>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</si>
  <si>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</si>
  <si>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</si>
  <si>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</si>
  <si>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</si>
  <si>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</si>
  <si>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</si>
  <si>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</si>
  <si>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</si>
  <si>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</si>
  <si>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</si>
  <si>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</si>
  <si>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</si>
  <si>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</si>
  <si>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</si>
  <si>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</si>
  <si>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</si>
  <si>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</si>
  <si>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</si>
  <si>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</si>
  <si>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</si>
  <si>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</si>
  <si>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</si>
  <si>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</si>
  <si>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</si>
  <si>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</si>
  <si>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</si>
  <si>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</si>
  <si>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</si>
  <si>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</si>
  <si>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</si>
  <si>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</si>
  <si>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</si>
  <si>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</si>
  <si>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</si>
  <si>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</si>
  <si>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LUGO</t>
  </si>
  <si>
    <t>Resumenes por Partidos Judiciales</t>
  </si>
  <si>
    <t>CHANTADA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</si>
</sst>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trySNTP1k+0DKkX5He2oDr6ZBWPGxpnQ9tn1WcLDfWPCdGUH/MT07qj0FKMCqjmZ3dcrHgaD+OJwKenPv5N3g==" saltValue="R1Ha/2e4HKKOYlCG8vXq2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1</v>
      </c>
      <c r="F10" s="230">
        <f>IF(ISNUMBER(Datos!K10),Datos!K10," - ")</f>
        <v>1</v>
      </c>
      <c r="G10" s="1189" t="str">
        <f>IF(Datos!E10&lt;&gt;"",Datos!E10,Datos!D10)</f>
        <v>37</v>
      </c>
      <c r="H10" s="231">
        <f>IF(ISNUMBER(Datos!L10),Datos!L10," - ")</f>
        <v>4</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44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30.45121951219512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324</v>
      </c>
      <c r="D16" s="229">
        <f>IF(ISNUMBER(IF(D_I="SI",Datos!I16,Datos!I16+Datos!AC16)),IF(D_I="SI",Datos!I16,Datos!I16+Datos!AC16)," - ")</f>
        <v>324</v>
      </c>
      <c r="E16" s="230">
        <f>IF(ISNUMBER(IF(D_I="SI",Datos!J16,Datos!J16+Datos!AD16)),IF(D_I="SI",Datos!J16,Datos!J16+Datos!AD16)," - ")</f>
        <v>181</v>
      </c>
      <c r="F16" s="230">
        <f>IF(ISNUMBER(IF(D_I="SI",Datos!K16,Datos!K16+Datos!AE16)),IF(D_I="SI",Datos!K16,Datos!K16+Datos!AE16)," - ")</f>
        <v>181</v>
      </c>
      <c r="G16" s="1189" t="str">
        <f>IF(Datos!E16&lt;&gt;"",Datos!E16,Datos!D16)</f>
        <v>04</v>
      </c>
      <c r="H16" s="231">
        <f>IF(ISNUMBER(IF(D_I="SI",Datos!L16,Datos!L16+Datos!AF16)),IF(D_I="SI",Datos!L16,Datos!L16+Datos!AF16)," - ")</f>
        <v>324</v>
      </c>
      <c r="I16" s="1199" t="str">
        <f>IF(ISNUMBER(Datos!AS16/Datos!BM16),Datos!AS16/Datos!BM16," - ")</f>
        <v xml:space="preserve"> - </v>
      </c>
      <c r="J16" s="1200">
        <f>IF(ISNUMBER(Datos!BY16/Datos!CN16),Datos!BY16/Datos!CN16," - ")</f>
        <v>0</v>
      </c>
      <c r="K16" s="234">
        <f t="shared" si="3"/>
        <v>0</v>
      </c>
      <c r="L16" s="1201">
        <f>IF(ISNUMBER(NºAsuntos!I16/NºAsuntos!G16),(NºAsuntos!I16/NºAsuntos!G16)*11," - ")</f>
        <v>19.69060773480663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31</v>
      </c>
      <c r="D17" s="229">
        <f>IF(ISNUMBER(IF(D_I="SI",Datos!I17,Datos!I17+Datos!AC17)),IF(D_I="SI",Datos!I17,Datos!I17+Datos!AC17)," - ")</f>
        <v>31</v>
      </c>
      <c r="E17" s="230">
        <f>IF(ISNUMBER(IF(D_I="SI",Datos!J17,Datos!J17+Datos!AD17)),IF(D_I="SI",Datos!J17,Datos!J17+Datos!AD17)," - ")</f>
        <v>15</v>
      </c>
      <c r="F17" s="230">
        <f>IF(ISNUMBER(IF(D_I="SI",Datos!K17,Datos!K17+Datos!AE17)),IF(D_I="SI",Datos!K17,Datos!K17+Datos!AE17)," - ")</f>
        <v>19</v>
      </c>
      <c r="G17" s="1189" t="str">
        <f>IF(Datos!E17&lt;&gt;"",Datos!E17,Datos!D17)</f>
        <v>37</v>
      </c>
      <c r="H17" s="231">
        <f>IF(ISNUMBER(IF(D_I="SI",Datos!L17,Datos!L17+Datos!AF17)),IF(D_I="SI",Datos!L17,Datos!L17+Datos!AF17)," - ")</f>
        <v>27</v>
      </c>
      <c r="I17" s="1199" t="str">
        <f>IF(ISNUMBER(Datos!AS17/Datos!BM17),Datos!AS17/Datos!BM17," - ")</f>
        <v xml:space="preserve"> - </v>
      </c>
      <c r="J17" s="1200" t="str">
        <f>IF(ISNUMBER((Datos!BY17+Datos!BZ17)/Datos!CN17),(Datos!BY17+Datos!BZ17)/Datos!CN17," - ")</f>
        <v xml:space="preserve"> - </v>
      </c>
      <c r="K17" s="234">
        <f t="shared" si="3"/>
        <v>-0.12903225806451613</v>
      </c>
      <c r="L17" s="1201">
        <f>IF(ISNUMBER(NºAsuntos!I17/NºAsuntos!G17),(NºAsuntos!I17/NºAsuntos!G17)*11," - ")</f>
        <v>15.631578947368421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355</v>
      </c>
      <c r="D18" s="1206">
        <f>SUBTOTAL(9,D15:D17)</f>
        <v>355</v>
      </c>
      <c r="E18" s="1207">
        <f>SUBTOTAL(9,E15:E17)</f>
        <v>196</v>
      </c>
      <c r="F18" s="1207">
        <f>SUBTOTAL(9,F15:F17)</f>
        <v>200</v>
      </c>
      <c r="G18" s="1209" t="str">
        <f ca="1">INDIRECT(CONCATENATE("G",ROW()-1))</f>
        <v>37</v>
      </c>
      <c r="H18" s="1210">
        <f ca="1">SUMIF(G$14:G17,G18,H$14:H17)</f>
        <v>27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359</v>
      </c>
      <c r="D19" s="1228">
        <f>SUBTOTAL(9,D9:D18)</f>
        <v>359</v>
      </c>
      <c r="E19" s="1229">
        <f>SUBTOTAL(9,E9:E18)</f>
        <v>197</v>
      </c>
      <c r="F19" s="1229">
        <f>SUBTOTAL(9,F9:F18)</f>
        <v>201</v>
      </c>
      <c r="G19" s="1230"/>
      <c r="H19" s="1231">
        <f ca="1">SUMIF(B9:B18,"TOTAL",H9:H18)</f>
        <v>27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cYlWVaacgqmM+nmJl9UmobWWnnWwoThtozLdgScvdGlWigY5m7jxz6KO1hXaOX1al1lasJXLUgi4Qjm+9M3rIA==" saltValue="YCVflZhrVLS2ukQs7is9s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tqgLKgzLvMMg2uU54KKfEXFyaAWxnjlv/ABhYmZeinLrcWUE4Nw0aYdYwjO6i/awR1jelxKGoM2mVEPbXRmUA==" saltValue="QgCB3Lp5Jx8nVSODLK3g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1</v>
      </c>
      <c r="K10" s="185">
        <v>1</v>
      </c>
      <c r="L10" s="185">
        <v>4</v>
      </c>
      <c r="M10" s="185">
        <v>0</v>
      </c>
      <c r="N10" s="185">
        <v>0</v>
      </c>
      <c r="O10" s="185">
        <v>0</v>
      </c>
      <c r="P10" s="185">
        <v>0</v>
      </c>
      <c r="Q10" s="185">
        <v>0</v>
      </c>
      <c r="R10" s="185">
        <v>0</v>
      </c>
      <c r="S10" s="185">
        <v>3</v>
      </c>
      <c r="T10" s="185">
        <v>1</v>
      </c>
      <c r="U10" s="185">
        <v>0</v>
      </c>
      <c r="V10" s="185">
        <v>4</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1</v>
      </c>
      <c r="BA10" s="130">
        <f t="shared" si="0"/>
        <v>0</v>
      </c>
      <c r="BB10" s="130">
        <f t="shared" si="0"/>
        <v>4</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424</v>
      </c>
      <c r="J12" s="187">
        <v>214</v>
      </c>
      <c r="K12" s="187">
        <v>194</v>
      </c>
      <c r="L12" s="187">
        <v>444</v>
      </c>
      <c r="M12" s="187">
        <v>44</v>
      </c>
      <c r="N12" s="187">
        <v>101</v>
      </c>
      <c r="O12" s="185">
        <v>96</v>
      </c>
      <c r="P12" s="187">
        <v>51</v>
      </c>
      <c r="Q12" s="187">
        <v>5</v>
      </c>
      <c r="R12" s="187">
        <v>823</v>
      </c>
      <c r="S12" s="187">
        <v>451</v>
      </c>
      <c r="T12" s="187">
        <v>214</v>
      </c>
      <c r="U12" s="187">
        <v>227</v>
      </c>
      <c r="V12" s="187">
        <v>438</v>
      </c>
      <c r="W12" s="187">
        <v>74</v>
      </c>
      <c r="X12" s="193">
        <v>59</v>
      </c>
      <c r="Y12" s="195">
        <v>228</v>
      </c>
      <c r="Z12" s="185">
        <v>61</v>
      </c>
      <c r="AA12" s="185">
        <v>52</v>
      </c>
      <c r="AB12" s="185">
        <v>237</v>
      </c>
      <c r="AC12" s="187">
        <v>0</v>
      </c>
      <c r="AD12" s="187">
        <v>0</v>
      </c>
      <c r="AE12" s="187">
        <v>0</v>
      </c>
      <c r="AF12" s="193">
        <v>0</v>
      </c>
      <c r="AG12" s="206">
        <v>51</v>
      </c>
      <c r="AH12" s="187">
        <v>45</v>
      </c>
      <c r="AI12" s="187">
        <v>40</v>
      </c>
      <c r="AJ12" s="207">
        <v>56</v>
      </c>
      <c r="AK12" s="186">
        <v>0</v>
      </c>
      <c r="AL12" s="187">
        <v>0</v>
      </c>
      <c r="AM12" s="187">
        <v>0</v>
      </c>
      <c r="AN12" s="193">
        <v>0</v>
      </c>
      <c r="AO12" s="263">
        <v>1</v>
      </c>
      <c r="AP12" s="159">
        <v>1</v>
      </c>
      <c r="AQ12" s="159">
        <v>1</v>
      </c>
      <c r="AR12" s="158">
        <v>1</v>
      </c>
      <c r="AS12" s="349" t="s">
        <v>811</v>
      </c>
      <c r="AT12" s="207"/>
      <c r="AU12" s="206"/>
      <c r="AV12" s="207"/>
      <c r="AW12" s="206"/>
      <c r="AX12" s="207"/>
      <c r="AY12" s="127">
        <f t="shared" si="1"/>
        <v>502</v>
      </c>
      <c r="AZ12" s="128">
        <f t="shared" si="1"/>
        <v>259</v>
      </c>
      <c r="BA12" s="128">
        <f t="shared" si="1"/>
        <v>267</v>
      </c>
      <c r="BB12" s="128">
        <f t="shared" si="1"/>
        <v>494</v>
      </c>
      <c r="BC12" s="126">
        <f>IF(ISNUMBER(X12),X12," - ")</f>
        <v>59</v>
      </c>
      <c r="BD12" s="127">
        <f t="shared" si="2"/>
        <v>1.0308880308880308</v>
      </c>
      <c r="BE12" s="128">
        <f t="shared" si="3"/>
        <v>1.8501872659176031</v>
      </c>
      <c r="BF12" s="128">
        <f t="shared" si="4"/>
        <v>0.22097378277153559</v>
      </c>
      <c r="BG12" s="200">
        <f t="shared" si="5"/>
        <v>2.8501872659176031</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428</v>
      </c>
      <c r="J13" s="188">
        <f t="shared" si="6"/>
        <v>215</v>
      </c>
      <c r="K13" s="188">
        <f t="shared" si="6"/>
        <v>195</v>
      </c>
      <c r="L13" s="188">
        <f t="shared" si="6"/>
        <v>448</v>
      </c>
      <c r="M13" s="188">
        <f t="shared" si="6"/>
        <v>44</v>
      </c>
      <c r="N13" s="188">
        <f t="shared" si="6"/>
        <v>101</v>
      </c>
      <c r="O13" s="188">
        <f t="shared" si="6"/>
        <v>96</v>
      </c>
      <c r="P13" s="188">
        <f t="shared" si="6"/>
        <v>51</v>
      </c>
      <c r="Q13" s="188">
        <f t="shared" si="6"/>
        <v>5</v>
      </c>
      <c r="R13" s="188">
        <f t="shared" si="6"/>
        <v>823</v>
      </c>
      <c r="S13" s="188">
        <f t="shared" si="6"/>
        <v>454</v>
      </c>
      <c r="T13" s="188">
        <f t="shared" si="6"/>
        <v>215</v>
      </c>
      <c r="U13" s="188">
        <f t="shared" si="6"/>
        <v>227</v>
      </c>
      <c r="V13" s="188">
        <f t="shared" si="6"/>
        <v>442</v>
      </c>
      <c r="W13" s="188">
        <f t="shared" si="6"/>
        <v>74</v>
      </c>
      <c r="X13" s="188">
        <f t="shared" si="6"/>
        <v>59</v>
      </c>
      <c r="Y13" s="188">
        <f t="shared" si="6"/>
        <v>228</v>
      </c>
      <c r="Z13" s="188">
        <f t="shared" si="6"/>
        <v>61</v>
      </c>
      <c r="AA13" s="188">
        <f t="shared" si="6"/>
        <v>52</v>
      </c>
      <c r="AB13" s="188">
        <f t="shared" si="6"/>
        <v>237</v>
      </c>
      <c r="AC13" s="188">
        <f t="shared" si="6"/>
        <v>0</v>
      </c>
      <c r="AD13" s="188">
        <f t="shared" si="6"/>
        <v>0</v>
      </c>
      <c r="AE13" s="188">
        <f t="shared" si="6"/>
        <v>0</v>
      </c>
      <c r="AF13" s="188">
        <f>SUBTOTAL(9,AF9:AF12)</f>
        <v>0</v>
      </c>
      <c r="AG13" s="188">
        <f t="shared" ref="AG13:AT13" si="7">SUBTOTAL(9,AG8:AG12)</f>
        <v>51</v>
      </c>
      <c r="AH13" s="188">
        <f t="shared" si="7"/>
        <v>45</v>
      </c>
      <c r="AI13" s="188">
        <f t="shared" si="7"/>
        <v>40</v>
      </c>
      <c r="AJ13" s="188">
        <f t="shared" si="7"/>
        <v>56</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505</v>
      </c>
      <c r="AZ13" s="188">
        <f>SUBTOTAL(9,AZ8:AZ12)</f>
        <v>260</v>
      </c>
      <c r="BA13" s="188">
        <f>SUBTOTAL(9,BA8:BA12)</f>
        <v>267</v>
      </c>
      <c r="BB13" s="188">
        <f>SUBTOTAL(9,BB8:BB12)</f>
        <v>498</v>
      </c>
      <c r="BC13" s="188">
        <f>SUBTOTAL(9,BC8:BC12)</f>
        <v>59</v>
      </c>
      <c r="BD13" s="209">
        <f>IF(ISNUMBER(BA13/AZ13),BA13/AZ13," - ")</f>
        <v>1.0269230769230768</v>
      </c>
      <c r="BE13" s="210">
        <f>IF(ISNUMBER(BB13/BA13),BB13/BA13, " - ")</f>
        <v>1.8651685393258426</v>
      </c>
      <c r="BF13" s="210">
        <f>IF(ISNUMBER(BC13/BA13),BC13/BA13, " - ")</f>
        <v>0.22097378277153559</v>
      </c>
      <c r="BG13" s="211">
        <f>IF(ISNUMBER((AY13+AZ13)/BA13),(AY13+AZ13)/BA13," - ")</f>
        <v>2.8651685393258428</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324</v>
      </c>
      <c r="J16" s="187">
        <v>181</v>
      </c>
      <c r="K16" s="187">
        <v>181</v>
      </c>
      <c r="L16" s="187">
        <v>324</v>
      </c>
      <c r="M16" s="187">
        <v>39</v>
      </c>
      <c r="N16" s="187">
        <v>85</v>
      </c>
      <c r="O16" s="185">
        <v>7</v>
      </c>
      <c r="P16" s="187">
        <v>0</v>
      </c>
      <c r="Q16" s="187">
        <v>7</v>
      </c>
      <c r="R16" s="187">
        <v>28</v>
      </c>
      <c r="S16" s="187">
        <v>362</v>
      </c>
      <c r="T16" s="187">
        <v>144</v>
      </c>
      <c r="U16" s="187">
        <v>139</v>
      </c>
      <c r="V16" s="187">
        <v>367</v>
      </c>
      <c r="W16" s="187">
        <v>23</v>
      </c>
      <c r="X16" s="193">
        <v>39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362</v>
      </c>
      <c r="AZ16" s="128">
        <f t="shared" si="9"/>
        <v>144</v>
      </c>
      <c r="BA16" s="128">
        <f t="shared" si="9"/>
        <v>139</v>
      </c>
      <c r="BB16" s="128">
        <f t="shared" si="9"/>
        <v>367</v>
      </c>
      <c r="BC16" s="126">
        <f>IF(ISNUMBER(W16),W16," - ")</f>
        <v>23</v>
      </c>
      <c r="BD16" s="127">
        <f t="shared" ref="BD16" si="11">IF(ISNUMBER(BA16/AZ16),BA16/AZ16," - ")</f>
        <v>0.96527777777777779</v>
      </c>
      <c r="BE16" s="128">
        <f t="shared" ref="BE16" si="12">IF(ISNUMBER(BB16/BA16),BB16/BA16, " - ")</f>
        <v>2.6402877697841727</v>
      </c>
      <c r="BF16" s="128">
        <f t="shared" ref="BF16" si="13">IF(ISNUMBER(BC16/BA16),BC16/BA16, " - ")</f>
        <v>0.16546762589928057</v>
      </c>
      <c r="BG16" s="200">
        <f t="shared" si="10"/>
        <v>3.6402877697841727</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31</v>
      </c>
      <c r="J17" s="187">
        <v>15</v>
      </c>
      <c r="K17" s="187">
        <v>19</v>
      </c>
      <c r="L17" s="187">
        <v>27</v>
      </c>
      <c r="M17" s="187">
        <v>2</v>
      </c>
      <c r="N17" s="187">
        <v>15</v>
      </c>
      <c r="O17" s="187">
        <v>0</v>
      </c>
      <c r="P17" s="187">
        <v>0</v>
      </c>
      <c r="Q17" s="187">
        <v>0</v>
      </c>
      <c r="R17" s="187">
        <v>0</v>
      </c>
      <c r="S17" s="187">
        <v>23</v>
      </c>
      <c r="T17" s="187">
        <v>7</v>
      </c>
      <c r="U17" s="187">
        <v>6</v>
      </c>
      <c r="V17" s="187">
        <v>24</v>
      </c>
      <c r="W17" s="187">
        <v>0</v>
      </c>
      <c r="X17" s="193">
        <v>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23</v>
      </c>
      <c r="AZ17" s="130">
        <f t="shared" si="14"/>
        <v>7</v>
      </c>
      <c r="BA17" s="130">
        <f t="shared" si="14"/>
        <v>6</v>
      </c>
      <c r="BB17" s="130">
        <f t="shared" si="14"/>
        <v>24</v>
      </c>
      <c r="BC17" s="126">
        <f>IF(ISNUMBER(W17),W17," - ")</f>
        <v>0</v>
      </c>
      <c r="BD17" s="127">
        <f>IF(ISNUMBER(BA17/AZ17),BA17/AZ17," - ")</f>
        <v>0.8571428571428571</v>
      </c>
      <c r="BE17" s="128">
        <f>IF(ISNUMBER(BB17/BA17),BB17/BA17, " - ")</f>
        <v>4</v>
      </c>
      <c r="BF17" s="128">
        <f>IF(ISNUMBER(BC17/BA17),BC17/BA17, " - ")</f>
        <v>0</v>
      </c>
      <c r="BG17" s="200">
        <f>IF(ISNUMBER((AY17+AZ17)/BA17),(AY17+AZ17)/BA17," - ")</f>
        <v>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355</v>
      </c>
      <c r="J18" s="188">
        <f t="shared" si="15"/>
        <v>196</v>
      </c>
      <c r="K18" s="188">
        <f t="shared" si="15"/>
        <v>200</v>
      </c>
      <c r="L18" s="188">
        <f t="shared" si="15"/>
        <v>351</v>
      </c>
      <c r="M18" s="188">
        <f t="shared" si="15"/>
        <v>41</v>
      </c>
      <c r="N18" s="188">
        <f t="shared" si="15"/>
        <v>100</v>
      </c>
      <c r="O18" s="188">
        <f t="shared" si="15"/>
        <v>7</v>
      </c>
      <c r="P18" s="188">
        <f t="shared" si="15"/>
        <v>0</v>
      </c>
      <c r="Q18" s="188">
        <f t="shared" si="15"/>
        <v>7</v>
      </c>
      <c r="R18" s="188">
        <f t="shared" si="15"/>
        <v>28</v>
      </c>
      <c r="S18" s="188">
        <f t="shared" si="15"/>
        <v>385</v>
      </c>
      <c r="T18" s="188">
        <f t="shared" si="15"/>
        <v>151</v>
      </c>
      <c r="U18" s="188">
        <f t="shared" si="15"/>
        <v>145</v>
      </c>
      <c r="V18" s="188">
        <f t="shared" si="15"/>
        <v>391</v>
      </c>
      <c r="W18" s="188">
        <f t="shared" si="15"/>
        <v>23</v>
      </c>
      <c r="X18" s="188">
        <f t="shared" si="15"/>
        <v>47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385</v>
      </c>
      <c r="AZ18" s="188">
        <f>SUBTOTAL(9,AZ14:AZ17)</f>
        <v>151</v>
      </c>
      <c r="BA18" s="188">
        <f>SUBTOTAL(9,BA14:BA17)</f>
        <v>145</v>
      </c>
      <c r="BB18" s="188">
        <f>SUBTOTAL(9,BB14:BB17)</f>
        <v>391</v>
      </c>
      <c r="BC18" s="188">
        <f>SUBTOTAL(9,BC14:BC17)</f>
        <v>23</v>
      </c>
      <c r="BD18" s="209">
        <f>IF(ISNUMBER(BA18/AZ18),BA18/AZ18," - ")</f>
        <v>0.96026490066225167</v>
      </c>
      <c r="BE18" s="210">
        <f>IF(ISNUMBER(BB18/BA18),BB18/BA18, " - ")</f>
        <v>2.6965517241379309</v>
      </c>
      <c r="BF18" s="210">
        <f>IF(ISNUMBER(BC18/BA18),BC18/BA18, " - ")</f>
        <v>0.15862068965517243</v>
      </c>
      <c r="BG18" s="211">
        <f>IF(ISNUMBER((AY18+AZ18)/BA18),(AY18+AZ18)/BA18," - ")</f>
        <v>3.6965517241379309</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783</v>
      </c>
      <c r="J19" s="135">
        <f t="shared" si="18"/>
        <v>411</v>
      </c>
      <c r="K19" s="135">
        <f t="shared" si="18"/>
        <v>395</v>
      </c>
      <c r="L19" s="135">
        <f t="shared" si="18"/>
        <v>799</v>
      </c>
      <c r="M19" s="135">
        <f t="shared" si="18"/>
        <v>85</v>
      </c>
      <c r="N19" s="135">
        <f t="shared" si="18"/>
        <v>201</v>
      </c>
      <c r="O19" s="135">
        <f t="shared" si="18"/>
        <v>103</v>
      </c>
      <c r="P19" s="135">
        <f t="shared" si="18"/>
        <v>51</v>
      </c>
      <c r="Q19" s="135">
        <f t="shared" si="18"/>
        <v>12</v>
      </c>
      <c r="R19" s="135">
        <f t="shared" si="18"/>
        <v>851</v>
      </c>
      <c r="S19" s="135">
        <f t="shared" si="18"/>
        <v>839</v>
      </c>
      <c r="T19" s="135">
        <f t="shared" si="18"/>
        <v>366</v>
      </c>
      <c r="U19" s="135">
        <f t="shared" si="18"/>
        <v>372</v>
      </c>
      <c r="V19" s="135">
        <f t="shared" si="18"/>
        <v>833</v>
      </c>
      <c r="W19" s="135">
        <f t="shared" si="18"/>
        <v>97</v>
      </c>
      <c r="X19" s="135">
        <f t="shared" si="18"/>
        <v>106</v>
      </c>
      <c r="Y19" s="135">
        <f t="shared" si="18"/>
        <v>228</v>
      </c>
      <c r="Z19" s="135">
        <f t="shared" si="18"/>
        <v>61</v>
      </c>
      <c r="AA19" s="135">
        <f t="shared" si="18"/>
        <v>52</v>
      </c>
      <c r="AB19" s="135">
        <f t="shared" si="18"/>
        <v>237</v>
      </c>
      <c r="AC19" s="135">
        <f t="shared" si="18"/>
        <v>0</v>
      </c>
      <c r="AD19" s="135">
        <f t="shared" si="18"/>
        <v>0</v>
      </c>
      <c r="AE19" s="135">
        <f t="shared" si="18"/>
        <v>0</v>
      </c>
      <c r="AF19" s="135">
        <f t="shared" si="18"/>
        <v>0</v>
      </c>
      <c r="AG19" s="135">
        <f t="shared" si="18"/>
        <v>51</v>
      </c>
      <c r="AH19" s="135">
        <f t="shared" si="18"/>
        <v>45</v>
      </c>
      <c r="AI19" s="135">
        <f t="shared" si="18"/>
        <v>40</v>
      </c>
      <c r="AJ19" s="135">
        <f t="shared" si="18"/>
        <v>56</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890</v>
      </c>
      <c r="AZ19" s="135">
        <f>SUBTOTAL(9,AZ9:AZ18)</f>
        <v>411</v>
      </c>
      <c r="BA19" s="135">
        <f>SUBTOTAL(9,BA9:BA18)</f>
        <v>412</v>
      </c>
      <c r="BB19" s="135">
        <f>SUBTOTAL(9,BB9:BB18)</f>
        <v>889</v>
      </c>
      <c r="BC19" s="136">
        <f>SUBTOTAL(9,BC9:BC18)</f>
        <v>82</v>
      </c>
      <c r="BD19" s="217">
        <f>IF(ISNUMBER(BA19/AZ19),BA19/AZ19," - ")</f>
        <v>1.002433090024331</v>
      </c>
      <c r="BE19" s="214">
        <f>IF(ISNUMBER(BB19/BA19),BB19/BA19, " - ")</f>
        <v>2.157766990291262</v>
      </c>
      <c r="BF19" s="214">
        <f>IF(ISNUMBER(BC19/BA19),BC19/BA19, " - ")</f>
        <v>0.19902912621359223</v>
      </c>
      <c r="BG19" s="136">
        <f>IF(ISNUMBER((AY19+AZ19)/BA19),(AY19+AZ19)/BA19," - ")</f>
        <v>3.157766990291262</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DOrn0iHA8P7jG+OfDtaLI0EgiktwCsLBTQlYus0p/m1bTpfp5Kv+6PnRuwD76wTO92aUi84OwmWJu8/6UDlcQ==" saltValue="K3YrG4VYZ/UnOZj+vCaG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S4rnV6fC5KQxgZc5zHTnv9HisqmclPK4ms78dtfzNVXXT/wEU/0ErMpprX84hFW2h7sG0dQsk8vYwR57zHelg==" saltValue="8f11lJCvkL/hHPfcMu8p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LUGO  Resumenes por Partidos Judiciales  CHANTADA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4</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61</v>
      </c>
      <c r="O12" s="503"/>
      <c r="P12" s="503"/>
      <c r="Q12" s="501">
        <f>IF(ISNUMBER(Datos!P12),Datos!P12,0)</f>
        <v>51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237</v>
      </c>
      <c r="AI12" s="503" t="str">
        <f>IF(ISNUMBER(Datos!CD12),Datos!CD12,"-")</f>
        <v>-</v>
      </c>
      <c r="AJ12" s="503" t="str">
        <f>IF(ISNUMBER(Datos!EN12),Datos!EN12," - ")</f>
        <v xml:space="preserve"> - </v>
      </c>
      <c r="AK12" s="503"/>
      <c r="AL12" s="504"/>
      <c r="AM12" s="671">
        <f>IF(ISNUMBER(Datos!R12),Datos!R12," - ")</f>
        <v>823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44</v>
      </c>
      <c r="BD12" s="619">
        <f>IF(ISNUMBER(Datos!N12),Datos!N12," - ")</f>
        <v>101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0.89454545454545453</v>
      </c>
      <c r="BH12" s="669">
        <f>IF(ISNUMBER(((IF(J_V="SI",Datos!L12/Datos!K12,(Datos!L12+Datos!AB12)/(Datos!K12+Datos!AA12)))*11)/factor_trimestre),((IF(J_V="SI",Datos!L12/Datos!K12,(Datos!L12+Datos!AB12)/(Datos!K12+Datos!AA12)))*11)/factor_trimestre," - ")</f>
        <v>8.3048780487804876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5.9202059202059204E-2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61</v>
      </c>
      <c r="O13" s="1046">
        <f t="shared" si="0"/>
        <v>0</v>
      </c>
      <c r="P13" s="1046">
        <f t="shared" si="0"/>
        <v>0</v>
      </c>
      <c r="Q13" s="1045">
        <f t="shared" si="0"/>
        <v>51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5</v>
      </c>
      <c r="AD13" s="1045">
        <f t="shared" si="1"/>
        <v>0</v>
      </c>
      <c r="AE13" s="1045">
        <f t="shared" si="1"/>
        <v>0</v>
      </c>
      <c r="AF13" s="1045">
        <f t="shared" si="1"/>
        <v>4</v>
      </c>
      <c r="AG13" s="1045">
        <f t="shared" si="1"/>
        <v>0</v>
      </c>
      <c r="AH13" s="1045">
        <f t="shared" si="1"/>
        <v>237</v>
      </c>
      <c r="AI13" s="1045">
        <f t="shared" si="1"/>
        <v>0</v>
      </c>
      <c r="AJ13" s="1045">
        <f t="shared" si="1"/>
        <v>0</v>
      </c>
      <c r="AK13" s="1045">
        <f t="shared" si="1"/>
        <v>0</v>
      </c>
      <c r="AL13" s="1045">
        <f t="shared" si="1"/>
        <v>0</v>
      </c>
      <c r="AM13" s="1045">
        <f t="shared" si="1"/>
        <v>823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44</v>
      </c>
      <c r="BD13" s="1045">
        <f t="shared" si="1"/>
        <v>101</v>
      </c>
      <c r="BE13" s="1045">
        <f t="shared" si="1"/>
        <v>0</v>
      </c>
      <c r="BF13" s="1045">
        <f t="shared" si="1"/>
        <v>0</v>
      </c>
      <c r="BG13" s="1045">
        <f>IF(ISNUMBER(Datos!K13/Datos!J13),Datos!K13/Datos!J13," - ")</f>
        <v>0.90697674418604646</v>
      </c>
      <c r="BH13" s="1049">
        <f>IF(ISNUMBER(((Datos!L13/Datos!K13)*11)/factor_trimestre),((Datos!L13/Datos!K13)*11)/factor_trimestre," - ")</f>
        <v>6.8923076923076927</v>
      </c>
      <c r="BI13" s="1045">
        <f>IF(ISNUMBER('Resol  Asuntos'!D13/NºAsuntos!G13),'Resol  Asuntos'!D13/NºAsuntos!G13," - ")</f>
        <v>0.17813765182186234</v>
      </c>
      <c r="BJ13" s="1045" t="str">
        <f>IF(ISNUMBER(Datos!CI13/Datos!CJ13),Datos!CI13/Datos!CJ13," - ")</f>
        <v xml:space="preserve"> - </v>
      </c>
      <c r="BK13" s="1045">
        <f>SUBTOTAL(9,BK8:BK12)</f>
        <v>0</v>
      </c>
      <c r="BL13" s="1045">
        <f>IF(ISNUMBER((I13-AB13+L13)/(F13)),(I13-AB13+L13)/(F13)," - ")</f>
        <v>-0.25</v>
      </c>
      <c r="BM13" s="1050">
        <f>SUBTOTAL(9,BM9:BM12)</f>
        <v>5.9202059202059204E-2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324</v>
      </c>
      <c r="G16" s="650">
        <f>IF(ISNUMBER(IF(D_I="SI",Datos!I16,Datos!I16+Datos!AC16)),IF(D_I="SI",Datos!I16,Datos!I16+Datos!AC16)," - ")</f>
        <v>324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181</v>
      </c>
      <c r="AC16" s="230">
        <f>IF(ISNUMBER(Datos!Q16),Datos!Q16," - ")</f>
        <v>7</v>
      </c>
      <c r="AD16" s="343"/>
      <c r="AE16" s="515"/>
      <c r="AF16" s="648">
        <f>IF(ISNUMBER(IF(D_I="SI",Datos!L16,Datos!L16+Datos!AF16)),IF(D_I="SI",Datos!L16,Datos!L16+Datos!AF16)," - ")</f>
        <v>324</v>
      </c>
      <c r="AG16" s="343"/>
      <c r="AH16" s="343"/>
      <c r="AI16" s="343"/>
      <c r="AJ16" s="503"/>
      <c r="AK16" s="343"/>
      <c r="AL16" s="499"/>
      <c r="AM16" s="344">
        <f>IF(ISNUMBER(Datos!R16),Datos!R16," - ")</f>
        <v>28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39</v>
      </c>
      <c r="BD16" s="233">
        <f>IF(ISNUMBER(Datos!N16),Datos!N16," - ")</f>
        <v>85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v>
      </c>
      <c r="BH16" s="669">
        <f>IF(ISNUMBER(((IF(D_I="SI",Datos!L16/Datos!K16,(Datos!L16+Datos!AF16)/(Datos!K16+Datos!AE16)))*11)/factor_trimestre),((IF(D_I="SI",Datos!L16/Datos!K16,(Datos!L16+Datos!AF16)/(Datos!K16+Datos!AE16)))*11)/factor_trimestre," - ")</f>
        <v>5.3701657458563536</v>
      </c>
      <c r="BI16" s="247">
        <f>IF(ISNUMBER('Resol  Asuntos'!D16/NºAsuntos!G16),'Resol  Asuntos'!D16/NºAsuntos!G16," - ")</f>
        <v>0.21546961325966851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19</v>
      </c>
      <c r="AC17" s="501">
        <f>IF(ISNUMBER(Datos!Q17),Datos!Q17," - ")</f>
        <v>0</v>
      </c>
      <c r="AD17" s="503"/>
      <c r="AE17" s="515"/>
      <c r="AF17" s="505">
        <f>IF(ISNUMBER(Datos!L17),Datos!L17,"-")</f>
        <v>27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15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1.2666666666666666</v>
      </c>
      <c r="BH17" s="669">
        <f>IF(ISNUMBER(((IF(D_I="SI",Datos!L17/Datos!K17,(Datos!L17+Datos!AF17)/(Datos!K17+Datos!AE17)))*11)/factor_trimestre),((IF(D_I="SI",Datos!L17/Datos!K17,(Datos!L17+Datos!AF17)/(Datos!K17+Datos!AE17)))*11)/factor_trimestre," - ")</f>
        <v>4.2631578947368425</v>
      </c>
      <c r="BI17" s="668">
        <f>IF(ISNUMBER('Resol  Asuntos'!D17/NºAsuntos!G17),'Resol  Asuntos'!D17/NºAsuntos!G17," - ")</f>
        <v>0.10526315789473684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324</v>
      </c>
      <c r="G18" s="1044">
        <f>SUBTOTAL(9,G15:G17)</f>
        <v>355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200</v>
      </c>
      <c r="AC18" s="1045">
        <f t="shared" si="4"/>
        <v>7</v>
      </c>
      <c r="AD18" s="1045">
        <f t="shared" si="4"/>
        <v>0</v>
      </c>
      <c r="AE18" s="1045">
        <f t="shared" si="4"/>
        <v>0</v>
      </c>
      <c r="AF18" s="1045">
        <f t="shared" si="4"/>
        <v>351</v>
      </c>
      <c r="AG18" s="1045">
        <f t="shared" si="4"/>
        <v>0</v>
      </c>
      <c r="AH18" s="1045">
        <f t="shared" si="4"/>
        <v>0</v>
      </c>
      <c r="AI18" s="1045">
        <f t="shared" si="4"/>
        <v>0</v>
      </c>
      <c r="AJ18" s="1045">
        <f t="shared" si="4"/>
        <v>0</v>
      </c>
      <c r="AK18" s="1045">
        <f t="shared" si="4"/>
        <v>0</v>
      </c>
      <c r="AL18" s="1045">
        <f t="shared" si="4"/>
        <v>0</v>
      </c>
      <c r="AM18" s="1045">
        <f t="shared" si="4"/>
        <v>28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41</v>
      </c>
      <c r="BD18" s="1045">
        <f t="shared" si="4"/>
        <v>100</v>
      </c>
      <c r="BE18" s="1045">
        <f t="shared" si="4"/>
        <v>0</v>
      </c>
      <c r="BF18" s="1045">
        <f t="shared" si="4"/>
        <v>0</v>
      </c>
      <c r="BG18" s="1045">
        <f>IF(ISNUMBER(Datos!K18/Datos!J18),Datos!K18/Datos!J18," - ")</f>
        <v>1.0204081632653061</v>
      </c>
      <c r="BH18" s="1049">
        <f>IF(ISNUMBER(((Datos!L18/Datos!K18)*11)/factor_trimestre),((Datos!L18/Datos!K18)*11)/factor_trimestre," - ")</f>
        <v>5.2650000000000006</v>
      </c>
      <c r="BI18" s="1045">
        <f>SUBTOTAL(9,BI15:BI17)</f>
        <v>0.32073277115440535</v>
      </c>
      <c r="BJ18" s="1045">
        <f>SUBTOTAL(9,BJ15:BJ17)</f>
        <v>0</v>
      </c>
      <c r="BK18" s="1045">
        <f>SUBTOTAL(9,BK15:BK17)</f>
        <v>0</v>
      </c>
      <c r="BL18" s="1045">
        <f>IF(ISNUMBER((I18-AB18+L18)/(F18)),(I18-AB18+L18)/(F18)," - ")</f>
        <v>-0.61728395061728392</v>
      </c>
      <c r="BM18" s="1051">
        <f>IF(ISNUMBER((Datos!P18-Datos!Q18)/(Datos!R18-Datos!P18+Datos!Q18)),(Datos!P18-Datos!Q18)/(Datos!R18-Datos!P18+Datos!Q18)," - ")</f>
        <v>-0.2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328</v>
      </c>
      <c r="G19" s="966">
        <f t="shared" si="6"/>
        <v>359</v>
      </c>
      <c r="H19" s="968">
        <f t="shared" si="6"/>
        <v>0</v>
      </c>
      <c r="I19" s="966">
        <f t="shared" si="6"/>
        <v>0</v>
      </c>
      <c r="J19" s="968">
        <f t="shared" si="6"/>
        <v>0</v>
      </c>
      <c r="K19" s="968">
        <f t="shared" si="6"/>
        <v>0</v>
      </c>
      <c r="L19" s="1027">
        <f t="shared" si="6"/>
        <v>0</v>
      </c>
      <c r="M19" s="1027">
        <f t="shared" si="6"/>
        <v>0</v>
      </c>
      <c r="N19" s="1027">
        <f t="shared" si="6"/>
        <v>61</v>
      </c>
      <c r="O19" s="1027">
        <f t="shared" si="6"/>
        <v>0</v>
      </c>
      <c r="P19" s="1027">
        <f t="shared" si="6"/>
        <v>0</v>
      </c>
      <c r="Q19" s="968">
        <f t="shared" si="6"/>
        <v>51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201</v>
      </c>
      <c r="AC19" s="967">
        <f t="shared" si="7"/>
        <v>12</v>
      </c>
      <c r="AD19" s="967">
        <f t="shared" si="7"/>
        <v>0</v>
      </c>
      <c r="AE19" s="967">
        <f t="shared" si="7"/>
        <v>0</v>
      </c>
      <c r="AF19" s="974">
        <f t="shared" si="7"/>
        <v>355</v>
      </c>
      <c r="AG19" s="974">
        <f t="shared" si="7"/>
        <v>0</v>
      </c>
      <c r="AH19" s="974">
        <f t="shared" si="7"/>
        <v>237</v>
      </c>
      <c r="AI19" s="974">
        <f t="shared" si="7"/>
        <v>0</v>
      </c>
      <c r="AJ19" s="967">
        <f t="shared" si="7"/>
        <v>0</v>
      </c>
      <c r="AK19" s="974">
        <f t="shared" si="7"/>
        <v>0</v>
      </c>
      <c r="AL19" s="974">
        <f t="shared" si="7"/>
        <v>0</v>
      </c>
      <c r="AM19" s="974">
        <f t="shared" si="7"/>
        <v>851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85</v>
      </c>
      <c r="BD19" s="966">
        <f t="shared" si="7"/>
        <v>201</v>
      </c>
      <c r="BE19" s="966">
        <f t="shared" si="7"/>
        <v>0</v>
      </c>
      <c r="BF19" s="976">
        <f t="shared" si="7"/>
        <v>0</v>
      </c>
      <c r="BG19" s="1061">
        <f>IF(ISNUMBER(Datos!K19/Datos!J19),Datos!K19/Datos!J19," - ")</f>
        <v>0.96107055961070564</v>
      </c>
      <c r="BH19" s="1061">
        <f>IF(ISNUMBER(((Datos!L19/Datos!K19)*11)/factor_trimestre),((Datos!L19/Datos!K19)*11)/factor_trimestre," - ")</f>
        <v>6.0683544303797481</v>
      </c>
      <c r="BI19" s="959">
        <f>IF(ISNUMBER(Datos!J19/Datos!I19),Datos!J19/Datos!I19," - ")</f>
        <v>0.52490421455938696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-0.61280487804878048</v>
      </c>
      <c r="BM19" s="1035">
        <f>IF(ISNUMBER((Datos!P19-Datos!Q19+R19)/(Datos!R19-Datos!P19+Datos!Q19-R19)),(Datos!P19-Datos!Q19+R19)/(Datos!R19-Datos!P19+Datos!Q19-R19)," - ")</f>
        <v>4.8029556650246302E-2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143.6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184.75208614068026</v>
      </c>
      <c r="G21" s="600">
        <f>IF(ISNUMBER(STDEV(G8:G18)),STDEV(G8:G18),"-")</f>
        <v>179.50571021558059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100.9990098961371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21.266562173202011</v>
      </c>
      <c r="BD21" s="599"/>
      <c r="BE21" s="599">
        <f>IF(ISNUMBER(STDEV(BE8:BE18)),STDEV(BE8:BE18),"-")</f>
        <v>0</v>
      </c>
      <c r="BF21" s="604">
        <f>IF(ISNUMBER(STDEV(BF8:BF18)),STDEV(BF8:BF18),"-")</f>
        <v>0</v>
      </c>
      <c r="BG21" s="914">
        <f>IF(ISNUMBER(STDEV(BG8:BG18)),STDEV(BG8:BG18),"-")</f>
        <v>0.13415912388172579</v>
      </c>
      <c r="BH21" s="918">
        <f>IF(ISNUMBER(STDEV(BH8:BH18)),STDEV(BH8:BH18),"-")</f>
        <v>2.8238156250051127</v>
      </c>
      <c r="BI21" s="253">
        <f>IF(ISNUMBER(STDEV(BI8:BI18)),STDEV(BI8:BI18),"-")</f>
        <v>8.9763896194283266E-2</v>
      </c>
      <c r="BJ21" s="234" t="str">
        <f>IF(ISNUMBER(BL21/BM21),BL21/BM21," - ")</f>
        <v xml:space="preserve"> - </v>
      </c>
      <c r="BK21" s="626"/>
      <c r="BL21" s="607">
        <f>IF(ISNUMBER(STDEV(BL8:BL18)),STDEV(BL8:BL18),"-")</f>
        <v>0.25970897210246646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JKhDb+Oy/5nxvcF9+ESa3oMq1WLI4g8rK6W55y7/ZXS4OZ9Ftpo4t0FqZLP0l8kXJg41hwjpHRXuSZ+3vLnXFA==" saltValue="q/aa+bDEBpWZF+PXX0ds1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LUGO  Resumenes por Partidos Judiciales  CHANTADA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4</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v>
      </c>
      <c r="AA12" s="505" t="str">
        <f>IF(ISNUMBER(IF(J_V="SI",Datos!L12,Datos!L12+Datos!AB12)-IF(Monitorios="SI",Datos!CD12,0)),
                          IF(J_V="SI",Datos!L12,Datos!L12+Datos!AB12)-IF(Monitorios="SI",Datos!CD12,0),
                          " - ")</f>
        <v xml:space="preserve"> - </v>
      </c>
      <c r="AB12" s="503"/>
      <c r="AC12" s="503"/>
      <c r="AD12" s="516"/>
      <c r="AE12" s="516">
        <f>IF(ISNUMBER(Datos!R12),Datos!R12," - ")</f>
        <v>823</v>
      </c>
      <c r="AF12" s="619" t="str">
        <f>IF(ISNUMBER(Datos!BV12),Datos!BV12," - ")</f>
        <v xml:space="preserve"> - </v>
      </c>
      <c r="AG12" s="506" t="str">
        <f>IF(ISNUMBER(Datos!DV12),Datos!DV12," - ")</f>
        <v xml:space="preserve"> - </v>
      </c>
      <c r="AH12" s="507"/>
      <c r="AI12" s="508"/>
      <c r="AJ12" s="506">
        <f>IF(ISNUMBER(Datos!M12),Datos!M12," - ")</f>
        <v>44</v>
      </c>
      <c r="AK12" s="619">
        <f>IF(ISNUMBER(Datos!N12),Datos!N12," - ")</f>
        <v>101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8.3048780487804876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5.9202059202059204E-2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51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5</v>
      </c>
      <c r="AA13" s="1046">
        <f t="shared" si="2"/>
        <v>4</v>
      </c>
      <c r="AB13" s="1046">
        <f t="shared" si="2"/>
        <v>0</v>
      </c>
      <c r="AC13" s="1046">
        <f t="shared" si="2"/>
        <v>0</v>
      </c>
      <c r="AD13" s="1046">
        <f t="shared" si="2"/>
        <v>0</v>
      </c>
      <c r="AE13" s="1046">
        <f t="shared" si="2"/>
        <v>823</v>
      </c>
      <c r="AF13" s="1054">
        <f t="shared" si="2"/>
        <v>0</v>
      </c>
      <c r="AG13" s="1054">
        <f t="shared" si="2"/>
        <v>0</v>
      </c>
      <c r="AH13" s="1054">
        <f t="shared" si="2"/>
        <v>0</v>
      </c>
      <c r="AI13" s="1054">
        <f t="shared" si="2"/>
        <v>0</v>
      </c>
      <c r="AJ13" s="1054">
        <f t="shared" si="2"/>
        <v>44</v>
      </c>
      <c r="AK13" s="1054">
        <f t="shared" si="2"/>
        <v>101</v>
      </c>
      <c r="AL13" s="1054">
        <f t="shared" si="2"/>
        <v>0</v>
      </c>
      <c r="AM13" s="1054">
        <f t="shared" si="2"/>
        <v>0</v>
      </c>
      <c r="AN13" s="1054">
        <f t="shared" si="2"/>
        <v>0</v>
      </c>
      <c r="AO13" s="1050">
        <f>IF(ISNUMBER(((NºAsuntos!I13/NºAsuntos!G13)*11)/factor_trimestre),((NºAsuntos!I13/NºAsuntos!G13)*11)/factor_trimestre," - ")</f>
        <v>8.3198380566801617</v>
      </c>
      <c r="AP13" s="1056" t="str">
        <f>IF(ISNUMBER(Datos!CI13/Datos!CJ13),Datos!CI13/Datos!CJ13," - ")</f>
        <v xml:space="preserve"> - </v>
      </c>
      <c r="AQ13" s="1074">
        <f t="shared" ref="AQ13:AV13" si="3">SUBTOTAL(9,AQ9:AQ12)</f>
        <v>0</v>
      </c>
      <c r="AR13" s="1074">
        <f t="shared" si="3"/>
        <v>5.9202059202059204E-2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324</v>
      </c>
      <c r="G16" s="506">
        <f>IF(ISNUMBER(IF(D_I="SI",Datos!I16,Datos!I16+Datos!AC16)),IF(D_I="SI",Datos!I16,Datos!I16+Datos!AC16)," - ")</f>
        <v>324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181</v>
      </c>
      <c r="Z16" s="703">
        <f>IF(ISNUMBER(Datos!Q16),Datos!Q16," - ")</f>
        <v>7</v>
      </c>
      <c r="AA16" s="505">
        <f>IF(ISNUMBER(IF(D_I="SI",Datos!L16,Datos!L16+Datos!AF16)),IF(D_I="SI",Datos!L16,Datos!L16+Datos!AF16)," - ")</f>
        <v>324</v>
      </c>
      <c r="AB16" s="503"/>
      <c r="AC16" s="503"/>
      <c r="AD16" s="516"/>
      <c r="AE16" s="516">
        <f>IF(ISNUMBER(Datos!R16),Datos!R16," - ")</f>
        <v>28</v>
      </c>
      <c r="AF16" s="619" t="str">
        <f>IF(ISNUMBER(Datos!BV16),Datos!BV16," - ")</f>
        <v xml:space="preserve"> - </v>
      </c>
      <c r="AG16" s="506"/>
      <c r="AH16" s="507"/>
      <c r="AI16" s="508"/>
      <c r="AJ16" s="506">
        <f>IF(ISNUMBER(Datos!M16),Datos!M16," - ")</f>
        <v>39</v>
      </c>
      <c r="AK16" s="619">
        <f>IF(ISNUMBER(Datos!N16),Datos!N16," - ")</f>
        <v>85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5.3701657458563536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19</v>
      </c>
      <c r="Z17" s="703">
        <f>IF(ISNUMBER(Datos!Q17),Datos!Q17," - ")</f>
        <v>0</v>
      </c>
      <c r="AA17" s="505">
        <f>IF(ISNUMBER(Datos!L17),Datos!L17,"-")</f>
        <v>27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15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4.2631578947368425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324</v>
      </c>
      <c r="G18" s="1044">
        <f>SUBTOTAL(9,G15:G17)</f>
        <v>355</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200</v>
      </c>
      <c r="Z18" s="1078">
        <f t="shared" si="5"/>
        <v>7</v>
      </c>
      <c r="AA18" s="1078">
        <f t="shared" si="5"/>
        <v>351</v>
      </c>
      <c r="AB18" s="1078">
        <f t="shared" si="5"/>
        <v>0</v>
      </c>
      <c r="AC18" s="1078">
        <f t="shared" si="5"/>
        <v>0</v>
      </c>
      <c r="AD18" s="1078">
        <f t="shared" si="5"/>
        <v>0</v>
      </c>
      <c r="AE18" s="1078">
        <f t="shared" si="5"/>
        <v>28</v>
      </c>
      <c r="AF18" s="1078">
        <f t="shared" si="5"/>
        <v>0</v>
      </c>
      <c r="AG18" s="1078">
        <f t="shared" si="5"/>
        <v>0</v>
      </c>
      <c r="AH18" s="1078">
        <f t="shared" si="5"/>
        <v>0</v>
      </c>
      <c r="AI18" s="1078">
        <f t="shared" si="5"/>
        <v>0</v>
      </c>
      <c r="AJ18" s="1078">
        <f t="shared" si="5"/>
        <v>41</v>
      </c>
      <c r="AK18" s="1078">
        <f t="shared" si="5"/>
        <v>100</v>
      </c>
      <c r="AL18" s="1078">
        <f t="shared" si="5"/>
        <v>0</v>
      </c>
      <c r="AM18" s="1078">
        <f t="shared" si="5"/>
        <v>0</v>
      </c>
      <c r="AN18" s="1078">
        <f t="shared" si="5"/>
        <v>0</v>
      </c>
      <c r="AO18" s="1080">
        <f>IF(ISNUMBER(((NºAsuntos!I18/NºAsuntos!G18)*11)/factor_trimestre),((NºAsuntos!I18/NºAsuntos!G18)*11)/factor_trimestre," - ")</f>
        <v>5.2650000000000006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328</v>
      </c>
      <c r="G19" s="966">
        <f t="shared" si="7"/>
        <v>359</v>
      </c>
      <c r="H19" s="967">
        <f t="shared" si="7"/>
        <v>0</v>
      </c>
      <c r="I19" s="966">
        <f t="shared" si="7"/>
        <v>0</v>
      </c>
      <c r="J19" s="968">
        <f t="shared" si="7"/>
        <v>0</v>
      </c>
      <c r="K19" s="966">
        <f t="shared" si="7"/>
        <v>0</v>
      </c>
      <c r="L19" s="969">
        <f t="shared" si="7"/>
        <v>0</v>
      </c>
      <c r="M19" s="966">
        <f t="shared" si="7"/>
        <v>0</v>
      </c>
      <c r="N19" s="967">
        <f t="shared" si="7"/>
        <v>51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201</v>
      </c>
      <c r="Z19" s="973">
        <f t="shared" si="8"/>
        <v>12</v>
      </c>
      <c r="AA19" s="974">
        <f t="shared" si="8"/>
        <v>355</v>
      </c>
      <c r="AB19" s="974">
        <f t="shared" si="8"/>
        <v>0</v>
      </c>
      <c r="AC19" s="974">
        <f t="shared" si="8"/>
        <v>0</v>
      </c>
      <c r="AD19" s="975">
        <f t="shared" si="8"/>
        <v>0</v>
      </c>
      <c r="AE19" s="975">
        <f t="shared" si="8"/>
        <v>851</v>
      </c>
      <c r="AF19" s="976">
        <f t="shared" si="8"/>
        <v>0</v>
      </c>
      <c r="AG19" s="977">
        <f t="shared" si="8"/>
        <v>0</v>
      </c>
      <c r="AH19" s="978">
        <f t="shared" si="8"/>
        <v>0</v>
      </c>
      <c r="AI19" s="976">
        <f t="shared" si="8"/>
        <v>0</v>
      </c>
      <c r="AJ19" s="966">
        <f t="shared" si="8"/>
        <v>85</v>
      </c>
      <c r="AK19" s="966">
        <f t="shared" si="8"/>
        <v>201</v>
      </c>
      <c r="AL19" s="966">
        <f t="shared" si="8"/>
        <v>0</v>
      </c>
      <c r="AM19" s="979">
        <f t="shared" si="8"/>
        <v>0</v>
      </c>
      <c r="AN19" s="969">
        <f>IF(ISNUMBER(Datos!K19/Datos!J19),Datos!K19/Datos!J19," - ")</f>
        <v>0.96107055961070564</v>
      </c>
      <c r="AO19" s="969">
        <f>IF(ISNUMBER(FIND("06",Criterios!A8,1)),(IF(ISNUMBER(((Datos!R19/Datos!Q19)*11)/factor_trimestre),((Datos!R19/Datos!Q19)*11)/factor_trimestre," - ")),(IF(ISNUMBER(((Datos!L19/Datos!K19)*11)/factor_trimestre),((Datos!L19/Datos!K19)*11)/factor_trimestre," - ")))</f>
        <v>6.0683544303797481</v>
      </c>
      <c r="AP19" s="980" t="str">
        <f>IF(ISNUMBER(Datos!CI19/Datos!CJ19),Datos!CI19/Datos!CJ19," - ")</f>
        <v xml:space="preserve"> - </v>
      </c>
      <c r="AQ19" s="980">
        <f>IF(OR(ISNUMBER(FIND("01",Criterios!A8,1)),ISNUMBER(FIND("02",Criterios!A8,1)),ISNUMBER(FIND("03",Criterios!A8,1)),ISNUMBER(FIND("04",Criterios!A8,1))),(J19-Y19+K19)/(F19-K19),(I19-Y19+K19)/(F19-K19))</f>
        <v>-0.61280487804878048</v>
      </c>
      <c r="AR19" s="980">
        <f>IF(ISNUMBER((Datos!P19-Datos!Q19+O19)/(Datos!R19-Datos!P19+Datos!Q19-O19)),(Datos!P19-Datos!Q19+O19)/(Datos!R19-Datos!P19+Datos!Q19-O19)," - ")</f>
        <v>4.8029556650246302E-2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143.6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184.75208614068026</v>
      </c>
      <c r="G21" s="600">
        <f>IF(ISNUMBER(STDEV(G8:G18)),STDEV(G8:G18),"-")</f>
        <v>179.50571021558059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21.266562173202011</v>
      </c>
      <c r="AK21" s="256"/>
      <c r="AL21" s="256">
        <f>IF(ISNUMBER(STDEV(AL8:AL18)),STDEV(AL8:AL18),"-")</f>
        <v>0</v>
      </c>
      <c r="AM21" s="258">
        <f>IF(ISNUMBER(STDEV(AM8:AM18)),STDEV(AM8:AM18),"-")</f>
        <v>0</v>
      </c>
      <c r="AN21" s="586">
        <f>IF(ISNUMBER(STDEV(AN8:AN18)),STDEV(AN8:AN18),"-")</f>
        <v>0</v>
      </c>
      <c r="AO21" s="587">
        <f>IF(ISNUMBER(STDEV(AO8:AO18)),STDEV(AO8:AO18),"-")</f>
        <v>2.8710611375759689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YydeFLDTWATwaRpeHvecN3k1jpfTnwV/LXKS6veP45xJvdSLZxo+sYUE6OTTMw2GfTW0qA1P591u/Ll4YacndA==" saltValue="6+8R9VmLr96k7J2RRAi1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ymRXuRC8EgLCu7y71XBM8Woka+ewrjcd6NafvP0isZhm2VDZuJ5iuE8h0sjPAtXQcCNtlAlk6xEcFYFNy5Z1w==" saltValue="92f777/6kvvWJPkOOtrx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qtZijftG8M+BVKNmkWKH0x5dRFac4WGuD9GAdxwWlOjzKGo1oCYnkhMP/IJ201D3m/pSAwUvEMNvyi/lB24jw==" saltValue="0TMFM2dejtDIiHDaPtgzW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LUGO  Resumenes por Partidos Judiciales  CHANTADA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0.17813765182186234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0.12596234158788699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IpbC6nmNzxRjCfqiSJ10mp7pHCAAOQC0n+0yQvNjKXldTidhbJjdmY17TnEabxMz8Dt7XMIDp7cioy/NUCCPPg==" saltValue="duMHzSxeR6L9TlGI/ieT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p20ry0sOLM3pKHX42IF8Z1LQIZeNQq6KKS/nRCQS5OTHcV3Wr0NVEXJfZM4eJfEpT8D27PrygDMN2/dYW8rGA==" saltValue="v3yhZpj2hoRWfLDiCuqW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LUGO</v>
      </c>
      <c r="D3" s="399"/>
      <c r="E3" s="399"/>
      <c r="F3" s="399"/>
    </row>
    <row r="4" spans="1:14" ht="13.5" thickBot="1">
      <c r="A4" s="399"/>
      <c r="B4" s="402" t="str">
        <f>Criterios!A11 &amp;"  "&amp;Criterios!B11</f>
        <v>Resumenes por Partidos Judiciales  CHANTADA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1</v>
      </c>
      <c r="F10" s="415">
        <f>IF(ISNUMBER(E10/B10),E10/B10," - ")</f>
        <v>1</v>
      </c>
      <c r="G10" s="414">
        <f>IF(ISNUMBER(Datos!K10),Datos!K10," - ")</f>
        <v>1</v>
      </c>
      <c r="H10" s="415">
        <f>IF(ISNUMBER(G10/B10),G10/B10," - ")</f>
        <v>1</v>
      </c>
      <c r="I10" s="414">
        <f>IF(ISNUMBER(Datos!L10),Datos!L10," - ")</f>
        <v>4</v>
      </c>
      <c r="J10" s="415">
        <f>IF(ISNUMBER(I10/B10),I10/B10," - ")</f>
        <v>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652</v>
      </c>
      <c r="D12" s="415">
        <f>IF(ISNUMBER(C12/Datos!BH12),C12/Datos!BH12," - ")</f>
        <v>652</v>
      </c>
      <c r="E12" s="414">
        <f>IF(ISNUMBER(IF(J_V="SI",Datos!J12,Datos!J12+Datos!Z12)),IF(J_V="SI",Datos!J12,Datos!J12+Datos!Z12)," - ")</f>
        <v>275</v>
      </c>
      <c r="F12" s="415">
        <f>IF(ISNUMBER(E12/B12),E12/B12," - ")</f>
        <v>275</v>
      </c>
      <c r="G12" s="414">
        <f>IF(ISNUMBER(IF(J_V="SI",Datos!K12,Datos!K12+Datos!AA12)),IF(J_V="SI",Datos!K12,Datos!K12+Datos!AA12)," - ")</f>
        <v>246</v>
      </c>
      <c r="H12" s="415">
        <f>IF(ISNUMBER(G12/B12),G12/B12," - ")</f>
        <v>246</v>
      </c>
      <c r="I12" s="414">
        <f>IF(ISNUMBER(IF(J_V="SI",Datos!L12,Datos!L12+Datos!AB12)),IF(J_V="SI",Datos!L12,Datos!L12+Datos!AB12)," - ")</f>
        <v>681</v>
      </c>
      <c r="J12" s="415">
        <f>IF(ISNUMBER(I12/B12),I12/B12," - ")</f>
        <v>681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656</v>
      </c>
      <c r="D13" s="996" t="str">
        <f>IF(ISNUMBER(C13/Datos!BI13),C13/Datos!BI13," - ")</f>
        <v xml:space="preserve"> - </v>
      </c>
      <c r="E13" s="995">
        <f>SUBTOTAL(9,E8:E12)</f>
        <v>276</v>
      </c>
      <c r="F13" s="996">
        <f>IF(ISNUMBER(E13/B13),E13/B13," - ")</f>
        <v>276</v>
      </c>
      <c r="G13" s="995">
        <f>SUBTOTAL(9,G8:G12)</f>
        <v>247</v>
      </c>
      <c r="H13" s="996">
        <f>IF(ISNUMBER(G13/B13),G13/B13," - ")</f>
        <v>247</v>
      </c>
      <c r="I13" s="995">
        <f>SUBTOTAL(9,I8:I12)</f>
        <v>685</v>
      </c>
      <c r="J13" s="996">
        <f>IF(ISNUMBER(I13/B13),I13/B13," - ")</f>
        <v>685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324</v>
      </c>
      <c r="D16" s="415">
        <f>IF(ISNUMBER(C16/Datos!BH16),C16/Datos!BH16," - ")</f>
        <v>324</v>
      </c>
      <c r="E16" s="414">
        <f>IF(ISNUMBER(IF(D_I="SI",Datos!J16,Datos!J16+Datos!AD16)),IF(D_I="SI",Datos!J16,Datos!J16+Datos!AD16)," - ")</f>
        <v>181</v>
      </c>
      <c r="F16" s="415">
        <f>IF(ISNUMBER(E16/B16),E16/B16," - ")</f>
        <v>181</v>
      </c>
      <c r="G16" s="414">
        <f>IF(ISNUMBER(IF(D_I="SI",Datos!K16,Datos!K16+Datos!AE16)),IF(D_I="SI",Datos!K16,Datos!K16+Datos!AE16)," - ")</f>
        <v>181</v>
      </c>
      <c r="H16" s="415">
        <f>IF(ISNUMBER(G16/B16),G16/B16," - ")</f>
        <v>181</v>
      </c>
      <c r="I16" s="414">
        <f>IF(ISNUMBER(IF(D_I="SI",Datos!L16,Datos!L16+Datos!AF16)),IF(D_I="SI",Datos!L16,Datos!L16+Datos!AF16)," - ")</f>
        <v>324</v>
      </c>
      <c r="J16" s="415">
        <f>IF(ISNUMBER(I16/B16),I16/B16," - ")</f>
        <v>324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31</v>
      </c>
      <c r="D17" s="415">
        <f>IF(ISNUMBER(C17/Datos!BH17),C17/Datos!BH17," - ")</f>
        <v>31</v>
      </c>
      <c r="E17" s="414">
        <f>IF(ISNUMBER(IF(D_I="SI",Datos!J17,Datos!J17+Datos!AD17)),IF(D_I="SI",Datos!J17,Datos!J17+Datos!AD17)," - ")</f>
        <v>15</v>
      </c>
      <c r="F17" s="415">
        <f>IF(ISNUMBER(E17/B17),E17/B17," - ")</f>
        <v>15</v>
      </c>
      <c r="G17" s="414">
        <f>IF(ISNUMBER(IF(D_I="SI",Datos!K17,Datos!K17+Datos!AE17)),IF(D_I="SI",Datos!K17,Datos!K17+Datos!AE17)," - ")</f>
        <v>19</v>
      </c>
      <c r="H17" s="415">
        <f>IF(ISNUMBER(G17/B17),G17/B17," - ")</f>
        <v>19</v>
      </c>
      <c r="I17" s="414">
        <f>IF(ISNUMBER(IF(D_I="SI",Datos!L17,Datos!L17+Datos!AF17)),IF(D_I="SI",Datos!L17,Datos!L17+Datos!AF17)," - ")</f>
        <v>27</v>
      </c>
      <c r="J17" s="415">
        <f>IF(ISNUMBER(I17/B17),I17/B17," - ")</f>
        <v>27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355</v>
      </c>
      <c r="D18" s="996" t="str">
        <f>IF(ISNUMBER(C18/Datos!BI18),C18/Datos!BI18," - ")</f>
        <v xml:space="preserve"> - </v>
      </c>
      <c r="E18" s="995">
        <f>SUBTOTAL(9,E14:E17)</f>
        <v>196</v>
      </c>
      <c r="F18" s="996">
        <f>IF(ISNUMBER(E18/B18),E18/B18," - ")</f>
        <v>196</v>
      </c>
      <c r="G18" s="995">
        <f>SUBTOTAL(9,G14:G17)</f>
        <v>200</v>
      </c>
      <c r="H18" s="996">
        <f>IF(ISNUMBER(G18/B18),G18/B18," - ")</f>
        <v>200</v>
      </c>
      <c r="I18" s="995">
        <f>SUBTOTAL(9,I14:I17)</f>
        <v>351</v>
      </c>
      <c r="J18" s="996">
        <f>IF(ISNUMBER(I18/B18),I18/B18," - ")</f>
        <v>351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1011</v>
      </c>
      <c r="D19" s="941" t="str">
        <f>IF(ISNUMBER(C19/Datos!BI19),C19/Datos!BI19," - ")</f>
        <v xml:space="preserve"> - </v>
      </c>
      <c r="E19" s="940">
        <f>SUBTOTAL(9,E9:E18)</f>
        <v>472</v>
      </c>
      <c r="F19" s="941">
        <f>IF(ISNUMBER(E19/B19),E19/B19," - ")</f>
        <v>472</v>
      </c>
      <c r="G19" s="940">
        <f>SUBTOTAL(9,G9:G18)</f>
        <v>447</v>
      </c>
      <c r="H19" s="941">
        <f>IF(ISNUMBER(G19/B19),G19/B19," - ")</f>
        <v>447</v>
      </c>
      <c r="I19" s="940">
        <f>SUBTOTAL(9,I9:I18)</f>
        <v>1036</v>
      </c>
      <c r="J19" s="941">
        <f>IF(ISNUMBER(I19/B19),I19/B19," - ")</f>
        <v>1036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yb7CzAfs1Dxmaxq0DT7oQ5l9pVGu0Nr6Jzkz6i86EeN78fdVjqe5C/zmShwusps52V+ZqbfWk3jNZknU1nzPlg==" saltValue="dyLWBZELhbiWY3TDOlAq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LUGO  Resumenes por Partidos Judiciales  CHANTADA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823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44</v>
      </c>
      <c r="AM12" s="810">
        <f>IF(ISNUMBER(Datos!N12+DatosP!N16),Datos!N12+DatosP!N16," - ")</f>
        <v>101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8.3048780487804876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5.9202059202059204E-2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51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5</v>
      </c>
      <c r="AE13" s="1085">
        <f t="shared" si="1"/>
        <v>0</v>
      </c>
      <c r="AF13" s="1085">
        <f t="shared" si="1"/>
        <v>4</v>
      </c>
      <c r="AG13" s="1085">
        <f t="shared" si="1"/>
        <v>0</v>
      </c>
      <c r="AH13" s="1085">
        <f t="shared" si="1"/>
        <v>823</v>
      </c>
      <c r="AI13" s="1085">
        <f t="shared" si="1"/>
        <v>0</v>
      </c>
      <c r="AJ13" s="1085">
        <f t="shared" si="1"/>
        <v>0</v>
      </c>
      <c r="AK13" s="1085">
        <f t="shared" si="1"/>
        <v>0</v>
      </c>
      <c r="AL13" s="1085">
        <f t="shared" si="1"/>
        <v>44</v>
      </c>
      <c r="AM13" s="1085">
        <f t="shared" si="1"/>
        <v>101</v>
      </c>
      <c r="AN13" s="1085">
        <f t="shared" si="1"/>
        <v>0</v>
      </c>
      <c r="AO13" s="1085">
        <f t="shared" si="1"/>
        <v>0</v>
      </c>
      <c r="AP13" s="1090">
        <f>IF(ISNUMBER(((Datos!L13/Datos!K13)*11)/factor_trimestre),((Datos!L13/Datos!K13)*11)/factor_trimestre," - ")</f>
        <v>6.8923076923076927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v>
      </c>
      <c r="AU13" s="1085" t="str">
        <f>IF(ISNUMBER((DatosP!#REF!-DatosP!#REF!+DatosP!#REF!)/(DatosP!#REF!+DatosP!#REF!-DatosP!#REF!-DatosP!#REF!)),(DatosP!#REF!-DatosP!#REF!+DatosP!#REF!)/(DatosP!#REF!+DatosP!#REF!-DatosP!#REF!-DatosP!#REF!)," - ")</f>
        <v xml:space="preserve"> - </v>
      </c>
      <c r="AV13" s="1091">
        <f>SUBTOTAL(9,AV9:AV12)</f>
        <v>5.9202059202059204E-2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5.2650000000000006</v>
      </c>
      <c r="AQ18" s="1090">
        <f>IF(ISNUMBER(((Datos!M18/Datos!L18)*11)/factor_trimestre),((Datos!M18/Datos!L18)*11)/factor_trimestre," - ")</f>
        <v>0.3504273504273504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v>
      </c>
      <c r="AW18" s="1092">
        <f>IF(ISNUMBER((Datos!Q18-Datos!R18)/(Datos!S18-Datos!Q18+Datos!R18)),(Datos!Q18-Datos!R18)/(Datos!S18-Datos!Q18+Datos!R18)," - ")</f>
        <v>-5.1724137931034482E-2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51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5</v>
      </c>
      <c r="AE19" s="1103">
        <f t="shared" si="5"/>
        <v>0</v>
      </c>
      <c r="AF19" s="1104">
        <f t="shared" si="5"/>
        <v>4</v>
      </c>
      <c r="AG19" s="1104">
        <f t="shared" si="5"/>
        <v>0</v>
      </c>
      <c r="AH19" s="1104">
        <f t="shared" si="5"/>
        <v>823</v>
      </c>
      <c r="AI19" s="1104">
        <f t="shared" si="5"/>
        <v>0</v>
      </c>
      <c r="AJ19" s="1105">
        <f t="shared" si="5"/>
        <v>0</v>
      </c>
      <c r="AK19" s="1105">
        <f t="shared" si="5"/>
        <v>0</v>
      </c>
      <c r="AL19" s="1097">
        <f t="shared" si="5"/>
        <v>44</v>
      </c>
      <c r="AM19" s="1097">
        <f t="shared" si="5"/>
        <v>101</v>
      </c>
      <c r="AN19" s="1097">
        <f t="shared" si="5"/>
        <v>0</v>
      </c>
      <c r="AO19" s="1097">
        <f t="shared" si="5"/>
        <v>0</v>
      </c>
      <c r="AP19" s="1097">
        <f>IF(ISNUMBER(((Datos!L19/Datos!K19)*11)/factor_trimestre),((Datos!L19/Datos!K19)*11)/factor_trimestre," - ")</f>
        <v>6.0683544303797481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4.8029556650246302E-2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25.403411844343534</v>
      </c>
      <c r="AM21" s="869"/>
      <c r="AN21" s="869">
        <f>IF(ISNUMBER(STDEV(AN8:AN18)),STDEV(AN8:AN18),"-")</f>
        <v>0</v>
      </c>
      <c r="AO21" s="875">
        <f>IF(ISNUMBER(STDEV(AO8:AO18)),STDEV(AO8:AO18),"-")</f>
        <v>0</v>
      </c>
      <c r="AP21" s="922">
        <f>IF(ISNUMBER(STDEV(AP8:AP18)),STDEV(AP8:AP18),"-")</f>
        <v>2.8720929626512581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Vl1vnz5jd1AH8xGsKin9vUkcHCpqo1WUHYt7N88ZUubmDjzXLtOoS/su9+Y5+ZaMBoh3yXhICvS5O1xhg8mLQw==" saltValue="I5ZPdldlNBv2I4hN4FcG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LUGO</v>
      </c>
      <c r="C3" s="426"/>
      <c r="F3" s="399"/>
      <c r="G3" s="399"/>
      <c r="H3" s="399"/>
    </row>
    <row r="4" spans="1:15" ht="13.5" thickBot="1">
      <c r="A4" s="399"/>
      <c r="B4" s="402" t="str">
        <f>Criterios!A11 &amp;"  "&amp;Criterios!B11</f>
        <v>Resumenes por Partidos Judiciales  CHANTADA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OHVJS9Z/gk0q/ZG9xMdMQ3BoxjOGJ+EMoq4pk3gmIPUaepLXIuYhbnLXnrGZN/HHxVcj3ile/DdAA7Ys6mthdA==" saltValue="1tgN5dvFEXlBvACTuPEFx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LUGO</v>
      </c>
      <c r="C3" s="438"/>
      <c r="D3" s="439"/>
    </row>
    <row r="4" spans="1:9" ht="13.5" thickBot="1">
      <c r="B4" s="440" t="str">
        <f>Criterios!A11 &amp;"  "&amp;Criterios!B11</f>
        <v>Resumenes por Partidos Judiciales  CHANTADA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44</v>
      </c>
      <c r="E12" s="415">
        <f t="shared" si="0"/>
        <v>44</v>
      </c>
      <c r="F12" s="414">
        <f>IF(ISNUMBER(Datos!N12),Datos!N12," - ")</f>
        <v>101</v>
      </c>
      <c r="G12" s="415">
        <f t="shared" si="1"/>
        <v>101</v>
      </c>
      <c r="H12" s="414">
        <f>IF(ISNUMBER(Datos!O12),Datos!O12," - ")</f>
        <v>96</v>
      </c>
      <c r="I12" s="415">
        <f t="shared" si="2"/>
        <v>96</v>
      </c>
    </row>
    <row r="13" spans="1:9" ht="14.25" thickTop="1" thickBot="1">
      <c r="A13" s="994" t="str">
        <f>Datos!A13</f>
        <v>TOTAL</v>
      </c>
      <c r="B13" s="995">
        <f>Datos!AO13</f>
        <v>2</v>
      </c>
      <c r="C13" s="997">
        <f>Datos!AR13</f>
        <v>1</v>
      </c>
      <c r="D13" s="995">
        <f>SUBTOTAL(9,D9:D12)</f>
        <v>44</v>
      </c>
      <c r="E13" s="996">
        <f t="shared" si="0"/>
        <v>22</v>
      </c>
      <c r="F13" s="995">
        <f>SUBTOTAL(9,F9:F12)</f>
        <v>101</v>
      </c>
      <c r="G13" s="996">
        <f t="shared" si="1"/>
        <v>50.5</v>
      </c>
      <c r="H13" s="995">
        <f>SUBTOTAL(9,H9:H12)</f>
        <v>96</v>
      </c>
      <c r="I13" s="996">
        <f>IF(ISNUMBER(H13/B13),H13/B13," - ")</f>
        <v>48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39</v>
      </c>
      <c r="E16" s="415">
        <f t="shared" si="3"/>
        <v>39</v>
      </c>
      <c r="F16" s="414">
        <f>IF(ISNUMBER(Datos!N16),Datos!N16," - ")</f>
        <v>85</v>
      </c>
      <c r="G16" s="415">
        <f t="shared" si="4"/>
        <v>85</v>
      </c>
      <c r="H16" s="414">
        <f>IF(ISNUMBER(Datos!O16),Datos!O16," - ")</f>
        <v>7</v>
      </c>
      <c r="I16" s="415">
        <f t="shared" si="5"/>
        <v>7</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15</v>
      </c>
      <c r="G17" s="415">
        <f>IF(ISNUMBER(F17/B17),F17/B17," - ")</f>
        <v>15</v>
      </c>
      <c r="H17" s="414">
        <f>IF(ISNUMBER(Datos!O17),Datos!O17," - ")</f>
        <v>0</v>
      </c>
      <c r="I17" s="415">
        <f t="shared" si="5"/>
        <v>0</v>
      </c>
    </row>
    <row r="18" spans="1:9" ht="14.25" thickTop="1" thickBot="1">
      <c r="A18" s="994" t="str">
        <f>Datos!A18</f>
        <v>TOTAL</v>
      </c>
      <c r="B18" s="995">
        <f>Datos!AO18</f>
        <v>2</v>
      </c>
      <c r="C18" s="997">
        <f>Datos!AR18</f>
        <v>1</v>
      </c>
      <c r="D18" s="995">
        <f>SUBTOTAL(9,D15:D17)</f>
        <v>41</v>
      </c>
      <c r="E18" s="996">
        <f t="shared" si="3"/>
        <v>20.5</v>
      </c>
      <c r="F18" s="995">
        <f>SUBTOTAL(9,F15:F17)</f>
        <v>100</v>
      </c>
      <c r="G18" s="996">
        <f t="shared" si="4"/>
        <v>50</v>
      </c>
      <c r="H18" s="995">
        <f>SUBTOTAL(9,H15:H17)</f>
        <v>7</v>
      </c>
      <c r="I18" s="996">
        <f>IF(ISNUMBER(H18/B18),H18/B18," - ")</f>
        <v>3.5</v>
      </c>
    </row>
    <row r="19" spans="1:9" ht="14.25" thickTop="1" thickBot="1">
      <c r="A19" s="939" t="str">
        <f>Datos!A19</f>
        <v>TOTAL JURISDICCIONES</v>
      </c>
      <c r="B19" s="940">
        <f>Datos!AP19</f>
        <v>1</v>
      </c>
      <c r="C19" s="940">
        <f>Datos!AR19</f>
        <v>1</v>
      </c>
      <c r="D19" s="940">
        <f>SUBTOTAL(9,D8:D18)</f>
        <v>85</v>
      </c>
      <c r="E19" s="941">
        <f>IF(ISNUMBER(D19/B19),D19/B19," - ")</f>
        <v>85</v>
      </c>
      <c r="F19" s="940">
        <f>SUBTOTAL(9,F8:F18)</f>
        <v>201</v>
      </c>
      <c r="G19" s="941">
        <f>IF(ISNUMBER(F19/B19),F19/B19," - ")</f>
        <v>201</v>
      </c>
      <c r="H19" s="940">
        <f>SUBTOTAL(9,H8:H18)</f>
        <v>103</v>
      </c>
      <c r="I19" s="941">
        <f>IF(ISNUMBER(H19/B19),H19/B19," - ")</f>
        <v>103</v>
      </c>
    </row>
    <row r="22" spans="1:9">
      <c r="A22" s="402" t="str">
        <f>Criterios!A4</f>
        <v>Fecha Informe: 06 oct. 2023</v>
      </c>
    </row>
    <row r="27" spans="1:9">
      <c r="A27" s="425"/>
    </row>
  </sheetData>
  <sheetProtection algorithmName="SHA-512" hashValue="Zx8NA3ARH73HBzr26PdU6nmTvImnRxyRSE7VTRkTueLeROa2M+TcEo+aLEv9vCS2jhL17kCE/WGkkCmIemLL+w==" saltValue="2XM1XJDTnY0+dpV6p+84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LUGO</v>
      </c>
    </row>
    <row r="4" spans="1:4" ht="13.5" thickBot="1">
      <c r="B4" s="402" t="str">
        <f>Criterios!A11 &amp;"  "&amp;Criterios!B11</f>
        <v>Resumenes por Partidos Judiciales  CHANTADA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51</v>
      </c>
      <c r="C12" s="450">
        <f>IF(ISNUMBER(Datos!Q12),Datos!Q12," - ")</f>
        <v>5</v>
      </c>
      <c r="D12" s="419">
        <f>IF(ISNUMBER(Datos!R12),Datos!R12," - ")</f>
        <v>823</v>
      </c>
    </row>
    <row r="13" spans="1:4" ht="14.25" thickTop="1" thickBot="1">
      <c r="A13" s="994" t="str">
        <f>Datos!A13</f>
        <v>TOTAL</v>
      </c>
      <c r="B13" s="995">
        <f>SUBTOTAL(9,B9:B12)</f>
        <v>51</v>
      </c>
      <c r="C13" s="999">
        <f>SUBTOTAL(9,C9:C12)</f>
        <v>5</v>
      </c>
      <c r="D13" s="997">
        <f>SUBTOTAL(9,D9:D12)</f>
        <v>823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7</v>
      </c>
      <c r="D16" s="419">
        <f>IF(ISNUMBER(Datos!R16),Datos!R16," - ")</f>
        <v>28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7</v>
      </c>
      <c r="D18" s="997">
        <f>SUBTOTAL(9,D15:D17)</f>
        <v>28</v>
      </c>
    </row>
    <row r="19" spans="1:4" ht="16.5" customHeight="1" thickTop="1" thickBot="1">
      <c r="A19" s="939" t="str">
        <f>Datos!A19</f>
        <v>TOTAL JURISDICCIONES</v>
      </c>
      <c r="B19" s="944">
        <f>SUBTOTAL(9,B8:B18)</f>
        <v>51</v>
      </c>
      <c r="C19" s="945">
        <f>SUBTOTAL(9,C8:C18)</f>
        <v>12</v>
      </c>
      <c r="D19" s="946">
        <f>SUBTOTAL(9,D8:D18)</f>
        <v>851</v>
      </c>
    </row>
    <row r="20" spans="1:4" ht="7.5" customHeight="1"/>
    <row r="21" spans="1:4" ht="6" customHeight="1"/>
    <row r="22" spans="1:4">
      <c r="A22" s="402" t="str">
        <f>Criterios!A4</f>
        <v>Fecha Informe: 06 oct. 2023</v>
      </c>
    </row>
    <row r="27" spans="1:4">
      <c r="A27" s="425"/>
    </row>
  </sheetData>
  <sheetProtection algorithmName="SHA-512" hashValue="1kdvcLbYzthrnfsEvyaMgxG7JnLQlML/Za/EelmTNZ0hwGlO9Ts+gJaGMLhkdtNL/2qchSP2jzrW4aNLCOhCZQ==" saltValue="VOtFIZ0OW6CaGsT4zuqo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LUGO</v>
      </c>
    </row>
    <row r="4" spans="1:11" ht="10.5" customHeight="1" thickBot="1">
      <c r="B4" s="402" t="str">
        <f>Criterios!A11 &amp;"  "&amp;Criterios!B11</f>
        <v>Resumenes por Partidos Judiciales  CHANTADA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0.33333333333333331</v>
      </c>
      <c r="C10" s="472">
        <f>IF(ISNUMBER((Datos!J10-Datos!T10)/Datos!T10),(Datos!J10-Datos!T10)/Datos!T10," - ")</f>
        <v>0</v>
      </c>
      <c r="D10" s="472" t="str">
        <f>IF(ISNUMBER((Datos!K10-Datos!U10)/Datos!U10),(Datos!K10-Datos!U10)/Datos!U10," - ")</f>
        <v xml:space="preserve"> - </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0.29880478087649404</v>
      </c>
      <c r="C12" s="472">
        <f>IF(ISNUMBER(
   IF(J_V="SI",(Datos!J12-Datos!T12)/Datos!T12,(Datos!J12+Datos!Z12-(Datos!T12+Datos!AH12))/(Datos!T12+Datos!AH12))
     ),IF(J_V="SI",(Datos!J12-Datos!T12)/Datos!T12,(Datos!J12+Datos!Z12-(Datos!T12+Datos!AH12))/(Datos!T12+Datos!AH12))," - ")</f>
        <v>6.1776061776061778E-2</v>
      </c>
      <c r="D12" s="472">
        <f>IF(ISNUMBER(
   IF(J_V="SI",(Datos!K12-Datos!U12)/Datos!U12,(Datos!K12+Datos!AA12-(Datos!U12+Datos!AI12))/(Datos!U12+Datos!AI12))
     ),IF(J_V="SI",(Datos!K12-Datos!U12)/Datos!U12,(Datos!K12+Datos!AA12-(Datos!U12+Datos!AI12))/(Datos!U12+Datos!AI12))," - ")</f>
        <v>-7.8651685393258425E-2</v>
      </c>
      <c r="E12" s="472">
        <f>IF(ISNUMBER(
   IF(J_V="SI",(Datos!L12-Datos!V12)/Datos!V12,(Datos!L12+Datos!AB12-(Datos!V12+Datos!AJ12))/(Datos!V12+Datos!AJ12))
     ),IF(J_V="SI",(Datos!L12-Datos!V12)/Datos!V12,(Datos!L12+Datos!AB12-(Datos!V12+Datos!AJ12))/(Datos!V12+Datos!AJ12))," - ")</f>
        <v>0.37854251012145751</v>
      </c>
      <c r="F12" s="472">
        <f>IF(ISNUMBER((Datos!M12-Datos!W12)/Datos!W12),(Datos!M12-Datos!W12)/Datos!W12," - ")</f>
        <v>-0.40540540540540543</v>
      </c>
      <c r="G12" s="473">
        <f>IF(ISNUMBER((Datos!N12-Datos!X12)/Datos!X12),(Datos!N12-Datos!X12)/Datos!X12," - ")</f>
        <v>0.71186440677966101</v>
      </c>
      <c r="H12" s="471">
        <f>IF(ISNUMBER(((NºAsuntos!G12/NºAsuntos!E12)-Datos!BD12)/Datos!BD12),((NºAsuntos!G12/NºAsuntos!E12)-Datos!BD12)/Datos!BD12," - ")</f>
        <v>-0.13225740551583245</v>
      </c>
      <c r="I12" s="472">
        <f>IF(ISNUMBER(((NºAsuntos!I12/NºAsuntos!G12)-Datos!BE12)/Datos!BE12),((NºAsuntos!I12/NºAsuntos!G12)-Datos!BE12)/Datos!BE12," - ")</f>
        <v>0.49622296830255735</v>
      </c>
      <c r="J12" s="477">
        <f>IF(ISNUMBER((('Resol  Asuntos'!D12/NºAsuntos!G12)-Datos!BF12)/Datos!BF12),(('Resol  Asuntos'!D12/NºAsuntos!G12)-Datos!BF12)/Datos!BF12," - ")</f>
        <v>-0.19057461761058292</v>
      </c>
      <c r="K12" s="478">
        <f>IF(ISNUMBER((((NºAsuntos!C12+NºAsuntos!E12)/NºAsuntos!G12)-Datos!BG12)/Datos!BG12),(((NºAsuntos!C12+NºAsuntos!E12)/NºAsuntos!G12)-Datos!BG12)/Datos!BG12," - ")</f>
        <v>0.32212108586263249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0.299009900990099</v>
      </c>
      <c r="C13" s="1001">
        <f>IF(ISNUMBER(
   IF(J_V="SI",(Datos!J13-Datos!T13)/Datos!T13,(Datos!J13+Datos!Z13-(Datos!T13+Datos!AH13))/(Datos!T13+Datos!AH13))
     ),IF(J_V="SI",(Datos!J13-Datos!T13)/Datos!T13,(Datos!J13+Datos!Z13-(Datos!T13+Datos!AH13))/(Datos!T13+Datos!AH13))," - ")</f>
        <v>6.1538461538461542E-2</v>
      </c>
      <c r="D13" s="1001">
        <f>IF(ISNUMBER(
   IF(J_V="SI",(Datos!K13-Datos!U13)/Datos!U13,(Datos!K13+Datos!AA13-(Datos!U13+Datos!AI13))/(Datos!U13+Datos!AI13))
     ),IF(J_V="SI",(Datos!K13-Datos!U13)/Datos!U13,(Datos!K13+Datos!AA13-(Datos!U13+Datos!AI13))/(Datos!U13+Datos!AI13))," - ")</f>
        <v>-7.4906367041198504E-2</v>
      </c>
      <c r="E13" s="1001">
        <f>IF(ISNUMBER(
   IF(J_V="SI",(Datos!L13-Datos!V13)/Datos!V13,(Datos!L13+Datos!AB13-(Datos!V13+Datos!AJ13))/(Datos!V13+Datos!AJ13))
     ),IF(J_V="SI",(Datos!L13-Datos!V13)/Datos!V13,(Datos!L13+Datos!AB13-(Datos!V13+Datos!AJ13))/(Datos!V13+Datos!AJ13))," - ")</f>
        <v>0.37550200803212852</v>
      </c>
      <c r="F13" s="1002">
        <f>IF(ISNUMBER((Datos!M13-Datos!W13)/Datos!W13),(Datos!M13-Datos!W13)/Datos!W13," - ")</f>
        <v>-0.40540540540540543</v>
      </c>
      <c r="G13" s="1003">
        <f>IF(ISNUMBER((Datos!N13-Datos!X13)/Datos!X13),(Datos!N13-Datos!X13)/Datos!X13," - ")</f>
        <v>0.71186440677966101</v>
      </c>
      <c r="H13" s="1003">
        <f>IF(ISNUMBER(((NºAsuntos!G13/NºAsuntos!E13)-Datos!BD13)/Datos!BD13),((NºAsuntos!G13/NºAsuntos!E13)-Datos!BD13)/Datos!BD13," - ")</f>
        <v>-0.12853498344460723</v>
      </c>
      <c r="I13" s="1003">
        <f>IF(ISNUMBER(((NºAsuntos!I13/NºAsuntos!G13)-Datos!BE13)/Datos!BE13),((NºAsuntos!I13/NºAsuntos!G13)-Datos!BE13)/Datos!BE13," - ")</f>
        <v>0.48687868884444674</v>
      </c>
      <c r="J13" s="1003">
        <f>IF(ISNUMBER((('Resol  Asuntos'!D13/NºAsuntos!G13)-Datos!BF13)/Datos!BF13),(('Resol  Asuntos'!D13/NºAsuntos!G13)-Datos!BF13)/Datos!BF13," - ")</f>
        <v>-0.19385164345021624</v>
      </c>
      <c r="K13" s="1003">
        <f>IF(ISNUMBER((((NºAsuntos!C13+NºAsuntos!E13)/NºAsuntos!G13)-Datos!BG13)/Datos!BG13),(((NºAsuntos!C13+NºAsuntos!E13)/NºAsuntos!G13)-Datos!BG13)/Datos!BG13," - ")</f>
        <v>0.31694847979677698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-0.10497237569060773</v>
      </c>
      <c r="C16" s="472">
        <f>IF(ISNUMBER(
   IF(D_I="SI",(Datos!J16-Datos!T16)/Datos!T16,(Datos!J16+Datos!AD16-(Datos!T16+Datos!AL16))/(Datos!T16+Datos!AL16))
     ),IF(D_I="SI",(Datos!J16-Datos!T16)/Datos!T16,(Datos!J16+Datos!AD16-(Datos!T16+Datos!AL16))/(Datos!T16+Datos!AL16))," - ")</f>
        <v>0.25694444444444442</v>
      </c>
      <c r="D16" s="472">
        <f>IF(ISNUMBER(
   IF(D_I="SI",(Datos!K16-Datos!U16)/Datos!U16,(Datos!K16+Datos!AE16-(Datos!U16+Datos!AM16))/(Datos!U16+Datos!AM16))
     ),IF(D_I="SI",(Datos!K16-Datos!U16)/Datos!U16,(Datos!K16+Datos!AE16-(Datos!U16+Datos!AM16))/(Datos!U16+Datos!AM16))," - ")</f>
        <v>0.30215827338129497</v>
      </c>
      <c r="E16" s="472">
        <f>IF(ISNUMBER(
   IF(D_I="SI",(Datos!L16-Datos!V16)/Datos!V16,(Datos!L16+Datos!AF16-(Datos!V16+Datos!AN16))/(Datos!V16+Datos!AN16))
     ),IF(D_I="SI",(Datos!L16-Datos!V16)/Datos!V16,(Datos!L16+Datos!AF16-(Datos!V16+Datos!AN16))/(Datos!V16+Datos!AN16))," - ")</f>
        <v>-0.11716621253405994</v>
      </c>
      <c r="F16" s="472">
        <f>IF(ISNUMBER((Datos!M16-Datos!W16)/Datos!W16),(Datos!M16-Datos!W16)/Datos!W16," - ")</f>
        <v>0.69565217391304346</v>
      </c>
      <c r="G16" s="473">
        <f>IF(ISNUMBER((Datos!N16-Datos!X16)/Datos!X16),(Datos!N16-Datos!X16)/Datos!X16," - ")</f>
        <v>1.1794871794871795</v>
      </c>
      <c r="H16" s="471">
        <f>IF(ISNUMBER(((NºAsuntos!G16/NºAsuntos!E16)-Datos!BD16)/Datos!BD16),((NºAsuntos!G16/NºAsuntos!E16)-Datos!BD16)/Datos!BD16," - ")</f>
        <v>3.5971223021582718E-2</v>
      </c>
      <c r="I16" s="472">
        <f>IF(ISNUMBER(((NºAsuntos!I16/NºAsuntos!G16)-Datos!BE16)/Datos!BE16),((NºAsuntos!I16/NºAsuntos!G16)-Datos!BE16)/Datos!BE16," - ")</f>
        <v>-0.32202267150405706</v>
      </c>
      <c r="J16" s="477">
        <f>IF(ISNUMBER((('Resol  Asuntos'!D16/NºAsuntos!G16)-Datos!BF16)/Datos!BF16),(('Resol  Asuntos'!D16/NºAsuntos!G16)-Datos!BF16)/Datos!BF16," - ")</f>
        <v>0.30218592361277929</v>
      </c>
      <c r="K16" s="478">
        <f>IF(ISNUMBER((((NºAsuntos!C16+NºAsuntos!E16)/NºAsuntos!G16)-Datos!BG16)/Datos!BG16),(((NºAsuntos!C16+NºAsuntos!E16)/NºAsuntos!G16)-Datos!BG16)/Datos!BG16," - ")</f>
        <v>-0.23356189810669756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0.34782608695652173</v>
      </c>
      <c r="C17" s="472">
        <f>IF(ISNUMBER(
   IF(D_I="SI",(Datos!J17-Datos!T17)/Datos!T17,(Datos!J17+Datos!AD17-(Datos!T17+Datos!AL17))/(Datos!T17+Datos!AL17))
     ),IF(D_I="SI",(Datos!J17-Datos!T17)/Datos!T17,(Datos!J17+Datos!AD17-(Datos!T17+Datos!AL17))/(Datos!T17+Datos!AL17))," - ")</f>
        <v>1.1428571428571428</v>
      </c>
      <c r="D17" s="472">
        <f>IF(ISNUMBER(
   IF(D_I="SI",(Datos!K17-Datos!U17)/Datos!U17,(Datos!K17+Datos!AE17-(Datos!U17+Datos!AM17))/(Datos!U17+Datos!AM17))
     ),IF(D_I="SI",(Datos!K17-Datos!U17)/Datos!U17,(Datos!K17+Datos!AE17-(Datos!U17+Datos!AM17))/(Datos!U17+Datos!AM17))," - ")</f>
        <v>2.1666666666666665</v>
      </c>
      <c r="E17" s="472">
        <f>IF(ISNUMBER(
   IF(D_I="SI",(Datos!L17-Datos!V17)/Datos!V17,(Datos!L17+Datos!AF17-(Datos!V17+Datos!AN17))/(Datos!V17+Datos!AN17))
     ),IF(D_I="SI",(Datos!L17-Datos!V17)/Datos!V17,(Datos!L17+Datos!AF17-(Datos!V17+Datos!AN17))/(Datos!V17+Datos!AN17))," - ")</f>
        <v>0.125</v>
      </c>
      <c r="F17" s="472" t="str">
        <f>IF(ISNUMBER((Datos!M17-Datos!W17)/Datos!W17),(Datos!M17-Datos!W17)/Datos!W17," - ")</f>
        <v xml:space="preserve"> - </v>
      </c>
      <c r="G17" s="473">
        <f>IF(ISNUMBER((Datos!N17-Datos!X17)/Datos!X17),(Datos!N17-Datos!X17)/Datos!X17," - ")</f>
        <v>0.875</v>
      </c>
      <c r="H17" s="471">
        <f>IF(ISNUMBER(((NºAsuntos!G17/NºAsuntos!E17)-Datos!BD17)/Datos!BD17),((NºAsuntos!G17/NºAsuntos!E17)-Datos!BD17)/Datos!BD17," - ")</f>
        <v>0.4777777777777778</v>
      </c>
      <c r="I17" s="472">
        <f>IF(ISNUMBER(((NºAsuntos!I17/NºAsuntos!G17)-Datos!BE17)/Datos!BE17),((NºAsuntos!I17/NºAsuntos!G17)-Datos!BE17)/Datos!BE17," - ")</f>
        <v>-0.64473684210526316</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-0.51578947368421058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-7.792207792207792E-2</v>
      </c>
      <c r="C18" s="1001">
        <f>IF(ISNUMBER(
   IF(Criterios!B14="SI",(Datos!J18-Datos!T18)/Datos!T18,(Datos!J18+Datos!AD18-(Datos!T18+Datos!AL18))/(Datos!T18+Datos!AL18))
     ),IF(Criterios!B14="SI",(Datos!J18-Datos!T18)/Datos!T18,(Datos!J18+Datos!AD18-(Datos!T18+Datos!AL18))/(Datos!T18+Datos!AL18))," - ")</f>
        <v>0.29801324503311261</v>
      </c>
      <c r="D18" s="1001">
        <f>IF(ISNUMBER(
   IF(Criterios!B14="SI",(Datos!K18-Datos!U18)/Datos!U18,(Datos!K18+Datos!AE18-(Datos!U18+Datos!AM18))/(Datos!U18+Datos!AM18))
     ),IF(Criterios!B14="SI",(Datos!K18-Datos!U18)/Datos!U18,(Datos!K18+Datos!AE18-(Datos!U18+Datos!AM18))/(Datos!U18+Datos!AM18))," - ")</f>
        <v>0.37931034482758619</v>
      </c>
      <c r="E18" s="1001">
        <f>IF(ISNUMBER(
   IF(Criterios!B14="SI",(Datos!L18-Datos!V18)/Datos!V18,(Datos!L18+Datos!AF18-(Datos!V18+Datos!AN18))/(Datos!V18+Datos!AN18))
     ),IF(Criterios!B14="SI",(Datos!L18-Datos!V18)/Datos!V18,(Datos!L18+Datos!AF18-(Datos!V18+Datos!AN18))/(Datos!V18+Datos!AN18))," - ")</f>
        <v>-0.10230179028132992</v>
      </c>
      <c r="F18" s="1002">
        <f>IF(ISNUMBER((Datos!M18-Datos!W18)/Datos!W18),(Datos!M18-Datos!W18)/Datos!W18," - ")</f>
        <v>0.78260869565217395</v>
      </c>
      <c r="G18" s="1003">
        <f>IF(ISNUMBER((Datos!N18-Datos!X18)/Datos!X18),(Datos!N18-Datos!X18)/Datos!X18," - ")</f>
        <v>1.1276595744680851</v>
      </c>
      <c r="H18" s="1003">
        <f>IF(ISNUMBER(((NºAsuntos!G18/NºAsuntos!E18)-Datos!BD18)/Datos!BD18),((NºAsuntos!G18/NºAsuntos!E18)-Datos!BD18)/Datos!BD18," - ")</f>
        <v>6.2631949331456729E-2</v>
      </c>
      <c r="I18" s="1003">
        <f>IF(ISNUMBER(((NºAsuntos!I18/NºAsuntos!G18)-Datos!BE18)/Datos!BE18),((NºAsuntos!I18/NºAsuntos!G18)-Datos!BE18)/Datos!BE18," - ")</f>
        <v>-0.34916879795396422</v>
      </c>
      <c r="J18" s="1003">
        <f>IF(ISNUMBER((('Resol  Asuntos'!D18/NºAsuntos!G18)-Datos!BF18)/Datos!BF18),(('Resol  Asuntos'!D18/NºAsuntos!G18)-Datos!BF18)/Datos!BF18," - ")</f>
        <v>0.2923913043478259</v>
      </c>
      <c r="K18" s="1003">
        <f>IF(ISNUMBER((((NºAsuntos!C18+NºAsuntos!E18)/NºAsuntos!G18)-Datos!BG18)/Datos!BG18),(((NºAsuntos!C18+NºAsuntos!E18)/NºAsuntos!G18)-Datos!BG18)/Datos!BG18," - ")</f>
        <v>-0.25471082089552238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0.13595505617977527</v>
      </c>
      <c r="C19" s="948">
        <f>IF(ISNUMBER(
   IF(J_V="SI",(Datos!J19-Datos!T19)/Datos!T19,(Datos!J19+Datos!Z19-(Datos!T19+Datos!AH19))/(Datos!T19+Datos!AH19))
     ),IF(J_V="SI",(Datos!J19-Datos!T19)/Datos!T19,(Datos!J19+Datos!Z19-(Datos!T19+Datos!AH19))/(Datos!T19+Datos!AH19))," - ")</f>
        <v>0.14841849148418493</v>
      </c>
      <c r="D19" s="948">
        <f>IF(ISNUMBER(
   IF(J_V="SI",(Datos!K19-Datos!U19)/Datos!U19,(Datos!K19+Datos!AA19-(Datos!U19+Datos!AI19))/(Datos!U19+Datos!AI19))
     ),IF(J_V="SI",(Datos!K19-Datos!U19)/Datos!U19,(Datos!K19+Datos!AA19-(Datos!U19+Datos!AI19))/(Datos!U19+Datos!AI19))," - ")</f>
        <v>8.4951456310679616E-2</v>
      </c>
      <c r="E19" s="948">
        <f>IF(ISNUMBER(
   IF(J_V="SI",(Datos!L19-Datos!V19)/Datos!V19,(Datos!L19+Datos!AB19-(Datos!V19+Datos!AJ19))/(Datos!V19+Datos!AJ19))
     ),IF(J_V="SI",(Datos!L19-Datos!V19)/Datos!V19,(Datos!L19+Datos!AB19-(Datos!V19+Datos!AJ19))/(Datos!V19+Datos!AJ19))," - ")</f>
        <v>0.16535433070866143</v>
      </c>
      <c r="F19" s="949">
        <f>IF(ISNUMBER((Datos!M19-Datos!W19)/Datos!W19),(Datos!M19-Datos!W19)/Datos!W19," - ")</f>
        <v>-0.12371134020618557</v>
      </c>
      <c r="G19" s="950">
        <f>IF(ISNUMBER((Datos!N19-Datos!X19)/Datos!X19),(Datos!N19-Datos!X19)/Datos!X19," - ")</f>
        <v>0.89622641509433965</v>
      </c>
      <c r="H19" s="951">
        <f>IF(ISNUMBER((Tasas!B19-Datos!BD19)/Datos!BD19),(Tasas!B19-Datos!BD19)/Datos!BD19," - ")</f>
        <v>-5.5264727661675242E-2</v>
      </c>
      <c r="I19" s="952">
        <f>IF(ISNUMBER((Tasas!C19-Datos!BE19)/Datos!BE19),(Tasas!C19-Datos!BE19)/Datos!BE19," - ")</f>
        <v>7.4107347319840103E-2</v>
      </c>
      <c r="J19" s="953">
        <f>IF(ISNUMBER((Tasas!D19-Datos!BF19)/Datos!BF19),(Tasas!D19-Datos!BF19)/Datos!BF19," - ")</f>
        <v>-4.4579036394390703E-2</v>
      </c>
      <c r="K19" s="953">
        <f>IF(ISNUMBER((Tasas!E19-Datos!BG19)/Datos!BG19),(Tasas!E19-Datos!BG19)/Datos!BG19," - ")</f>
        <v>5.0639071304640931E-2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bmCTLwOICb124gaem9DaEOkjmEuYB2C1VKJEHfI/gvw+q7K3mmdysfezn/QtOa9rB/UjfhNjjymMzow6ge+rA==" saltValue="deeYEa+hv8MSgAt4RSr6/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LUGO</v>
      </c>
    </row>
    <row r="4" spans="1:7" ht="11.25" customHeight="1" thickBot="1">
      <c r="B4" s="402" t="str">
        <f>Criterios!A11 &amp;"  "&amp;Criterios!B11</f>
        <v>Resumenes por Partidos Judiciales  CHANTADA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4</v>
      </c>
      <c r="D10" s="460">
        <f>IF(ISNUMBER('Resol  Asuntos'!D10/NºAsuntos!G10),'Resol  Asuntos'!D10/NºAsuntos!G10," - ")</f>
        <v>0</v>
      </c>
      <c r="E10" s="461">
        <f>IF(ISNUMBER((NºAsuntos!C10+NºAsuntos!E10)/NºAsuntos!G10),(NºAsuntos!C10+NºAsuntos!E10)/NºAsuntos!G10," - ")</f>
        <v>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0.89454545454545453</v>
      </c>
      <c r="C12" s="459">
        <f>IF(ISNUMBER(NºAsuntos!I12/NºAsuntos!G12),NºAsuntos!I12/NºAsuntos!G12," - ")</f>
        <v>2.7682926829268291</v>
      </c>
      <c r="D12" s="460">
        <f>IF(ISNUMBER('Resol  Asuntos'!D12/NºAsuntos!G12),'Resol  Asuntos'!D12/NºAsuntos!G12," - ")</f>
        <v>0.17886178861788618</v>
      </c>
      <c r="E12" s="461">
        <f>IF(ISNUMBER((NºAsuntos!C12+NºAsuntos!E12)/NºAsuntos!G12),(NºAsuntos!C12+NºAsuntos!E12)/NºAsuntos!G12," - ")</f>
        <v>3.7682926829268291</v>
      </c>
      <c r="G12" s="479"/>
    </row>
    <row r="13" spans="1:7" ht="14.25" thickTop="1" thickBot="1">
      <c r="A13" s="994" t="str">
        <f>Datos!A13</f>
        <v>TOTAL</v>
      </c>
      <c r="B13" s="1004">
        <f>IF(ISNUMBER(NºAsuntos!G13/NºAsuntos!E13),NºAsuntos!G13/NºAsuntos!E13," - ")</f>
        <v>0.89492753623188404</v>
      </c>
      <c r="C13" s="1005">
        <f>IF(ISNUMBER(NºAsuntos!I13/NºAsuntos!G13),NºAsuntos!I13/NºAsuntos!G13," - ")</f>
        <v>2.7732793522267207</v>
      </c>
      <c r="D13" s="1006">
        <f>IF(ISNUMBER('Resol  Asuntos'!D13/NºAsuntos!G13),'Resol  Asuntos'!D13/NºAsuntos!G13," - ")</f>
        <v>0.17813765182186234</v>
      </c>
      <c r="E13" s="1007">
        <f>IF(ISNUMBER((NºAsuntos!C13+NºAsuntos!E13)/NºAsuntos!G13),(NºAsuntos!C13+NºAsuntos!E13)/NºAsuntos!G13," - ")</f>
        <v>3.7732793522267207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v>
      </c>
      <c r="C16" s="459">
        <f>IF(ISNUMBER(NºAsuntos!I16/NºAsuntos!G16),NºAsuntos!I16/NºAsuntos!G16," - ")</f>
        <v>1.7900552486187846</v>
      </c>
      <c r="D16" s="460">
        <f>IF(ISNUMBER('Resol  Asuntos'!D16/NºAsuntos!G16),'Resol  Asuntos'!D16/NºAsuntos!G16," - ")</f>
        <v>0.21546961325966851</v>
      </c>
      <c r="E16" s="461">
        <f>IF(ISNUMBER((NºAsuntos!C16+NºAsuntos!E16)/NºAsuntos!G16),(NºAsuntos!C16+NºAsuntos!E16)/NºAsuntos!G16," - ")</f>
        <v>2.7900552486187844</v>
      </c>
      <c r="G16" s="479"/>
    </row>
    <row r="17" spans="1:7" ht="13.5" thickBot="1">
      <c r="A17" s="413" t="str">
        <f>Datos!A17</f>
        <v>Jdos. Violencia contra la mujer</v>
      </c>
      <c r="B17" s="458">
        <f>IF(ISNUMBER(NºAsuntos!G17/NºAsuntos!E17),NºAsuntos!G17/NºAsuntos!E17," - ")</f>
        <v>1.2666666666666666</v>
      </c>
      <c r="C17" s="459">
        <f>IF(ISNUMBER(NºAsuntos!I17/NºAsuntos!G17),NºAsuntos!I17/NºAsuntos!G17," - ")</f>
        <v>1.4210526315789473</v>
      </c>
      <c r="D17" s="460">
        <f>IF(ISNUMBER('Resol  Asuntos'!D17/NºAsuntos!G17),'Resol  Asuntos'!D17/NºAsuntos!G17," - ")</f>
        <v>0.10526315789473684</v>
      </c>
      <c r="E17" s="461">
        <f>IF(ISNUMBER((NºAsuntos!C17+NºAsuntos!E17)/NºAsuntos!G17),(NºAsuntos!C17+NºAsuntos!E17)/NºAsuntos!G17," - ")</f>
        <v>2.4210526315789473</v>
      </c>
      <c r="G17" s="479"/>
    </row>
    <row r="18" spans="1:7" ht="14.25" thickTop="1" thickBot="1">
      <c r="A18" s="994" t="str">
        <f>Datos!A18</f>
        <v>TOTAL</v>
      </c>
      <c r="B18" s="1004">
        <f>IF(ISNUMBER(NºAsuntos!G18/NºAsuntos!E18),NºAsuntos!G18/NºAsuntos!E18," - ")</f>
        <v>1.0204081632653061</v>
      </c>
      <c r="C18" s="1005">
        <f>IF(ISNUMBER(NºAsuntos!I18/NºAsuntos!G18),NºAsuntos!I18/NºAsuntos!G18," - ")</f>
        <v>1.7549999999999999</v>
      </c>
      <c r="D18" s="1008">
        <f>IF(ISNUMBER('Resol  Asuntos'!D18/NºAsuntos!G18),'Resol  Asuntos'!D18/NºAsuntos!G18," - ")</f>
        <v>0.20499999999999999</v>
      </c>
      <c r="E18" s="1007">
        <f>IF(ISNUMBER((NºAsuntos!C18+NºAsuntos!E18)/NºAsuntos!G18),(NºAsuntos!C18+NºAsuntos!E18)/NºAsuntos!G18," - ")</f>
        <v>2.7549999999999999</v>
      </c>
      <c r="G18" s="479"/>
    </row>
    <row r="19" spans="1:7" ht="15.75" customHeight="1" thickTop="1" thickBot="1">
      <c r="A19" s="939" t="str">
        <f>Datos!A19</f>
        <v>TOTAL JURISDICCIONES</v>
      </c>
      <c r="B19" s="954">
        <f>IF(ISNUMBER(NºAsuntos!G19/NºAsuntos!E19),NºAsuntos!G19/NºAsuntos!E19," - ")</f>
        <v>0.94703389830508478</v>
      </c>
      <c r="C19" s="955">
        <f>IF(ISNUMBER(NºAsuntos!I19/NºAsuntos!G19),NºAsuntos!I19/NºAsuntos!G19," - ")</f>
        <v>2.3176733780760626</v>
      </c>
      <c r="D19" s="956">
        <f>IF(ISNUMBER('Resol  Asuntos'!D19/NºAsuntos!G19),'Resol  Asuntos'!D19/NºAsuntos!G19," - ")</f>
        <v>0.19015659955257272</v>
      </c>
      <c r="E19" s="957">
        <f>IF(ISNUMBER((NºAsuntos!C19+NºAsuntos!E19)/NºAsuntos!G19),(NºAsuntos!C19+NºAsuntos!E19)/NºAsuntos!G19," - ")</f>
        <v>3.3176733780760626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mrjSoYDyPHSNKUyAaXEG1FrvK8+17WgCkwajJo+Zee+P67LD2kYBD3GgwgkHlwzYgU7iNHaieok555G3yjvdFA==" saltValue="VLvljN+dR+jKghMJ8Rcm3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LUGO</v>
      </c>
      <c r="N2" s="338" t="str">
        <f>Criterios!A11 &amp;"  "&amp;Criterios!B11</f>
        <v>Resumenes por Partidos Judiciales  CHANTADA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4</v>
      </c>
      <c r="AB10" s="343">
        <f>IF(ISNUMBER(Datos!R10),Datos!R10," - ")</f>
        <v>0</v>
      </c>
      <c r="AC10" s="343">
        <f t="shared" ref="AC10:AC12" si="1">IF(ISNUMBER(AA10+AB10),AA10+AB10," - ")</f>
        <v>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12</v>
      </c>
      <c r="AN10" s="248">
        <f>IF(ISNUMBER('Resol  Asuntos'!D10/NºAsuntos!G10),'Resol  Asuntos'!D10/NºAsuntos!G10," - ")</f>
        <v>0</v>
      </c>
      <c r="AO10" s="249">
        <f>IF(ISNUMBER((NºAsuntos!C10+NºAsuntos!E10)/NºAsuntos!G10),(NºAsuntos!C10+NºAsuntos!E10)/NºAsuntos!G10," - ")</f>
        <v>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v>
      </c>
      <c r="Y12" s="343">
        <f t="shared" si="0"/>
        <v>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823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44</v>
      </c>
      <c r="AJ12" s="233" t="str">
        <f>IF(ISNUMBER(Datos!BW12),Datos!BW12," - ")</f>
        <v xml:space="preserve"> - </v>
      </c>
      <c r="AK12" s="232" t="str">
        <f>IF(ISNUMBER(Datos!BX12),Datos!BX12," - ")</f>
        <v xml:space="preserve"> - </v>
      </c>
      <c r="AL12" s="247">
        <f>IF(ISNUMBER(NºAsuntos!G12/NºAsuntos!E12),NºAsuntos!G12/NºAsuntos!E12," - ")</f>
        <v>0.89454545454545453</v>
      </c>
      <c r="AM12" s="264">
        <f>IF(ISNUMBER(((NºAsuntos!I12/NºAsuntos!G12)*11)/factor_trimestre),((NºAsuntos!I12/NºAsuntos!G12)*11)/factor_trimestre," - ")</f>
        <v>8.3048780487804876</v>
      </c>
      <c r="AN12" s="248">
        <f>IF(ISNUMBER('Resol  Asuntos'!D12/NºAsuntos!G12),'Resol  Asuntos'!D12/NºAsuntos!G12," - ")</f>
        <v>0.17886178861788618</v>
      </c>
      <c r="AO12" s="249">
        <f>IF(ISNUMBER((NºAsuntos!C12+NºAsuntos!E12)/NºAsuntos!G12),(NºAsuntos!C12+NºAsuntos!E12)/NºAsuntos!G12," - ")</f>
        <v>3.7682926829268291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4</v>
      </c>
      <c r="G13" s="1012">
        <f t="shared" si="3"/>
        <v>4</v>
      </c>
      <c r="H13" s="1011">
        <f t="shared" si="3"/>
        <v>0</v>
      </c>
      <c r="I13" s="1013">
        <f t="shared" si="3"/>
        <v>0</v>
      </c>
      <c r="J13" s="1013">
        <f t="shared" si="3"/>
        <v>0</v>
      </c>
      <c r="K13" s="1013">
        <f t="shared" si="3"/>
        <v>0</v>
      </c>
      <c r="L13" s="1013">
        <f t="shared" si="3"/>
        <v>51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5</v>
      </c>
      <c r="Y13" s="1014">
        <f t="shared" si="4"/>
        <v>6</v>
      </c>
      <c r="Z13" s="1014">
        <f t="shared" si="4"/>
        <v>0</v>
      </c>
      <c r="AA13" s="1014">
        <f t="shared" si="4"/>
        <v>4</v>
      </c>
      <c r="AB13" s="1014">
        <f t="shared" si="4"/>
        <v>823</v>
      </c>
      <c r="AC13" s="1014">
        <f t="shared" si="4"/>
        <v>4</v>
      </c>
      <c r="AD13" s="1014">
        <f t="shared" si="4"/>
        <v>0</v>
      </c>
      <c r="AE13" s="1018">
        <f t="shared" si="4"/>
        <v>0</v>
      </c>
      <c r="AF13" s="1011">
        <f t="shared" si="4"/>
        <v>0</v>
      </c>
      <c r="AG13" s="1019">
        <f t="shared" si="4"/>
        <v>0</v>
      </c>
      <c r="AH13" s="1016">
        <f t="shared" si="4"/>
        <v>0</v>
      </c>
      <c r="AI13" s="1011">
        <f t="shared" si="4"/>
        <v>44</v>
      </c>
      <c r="AJ13" s="1013">
        <f t="shared" si="4"/>
        <v>0</v>
      </c>
      <c r="AK13" s="1016">
        <f>SUBTOTAL(9,AK9:AK12)</f>
        <v>0</v>
      </c>
      <c r="AL13" s="1020">
        <f>IF(ISNUMBER(NºAsuntos!G13/NºAsuntos!E13),NºAsuntos!G13/NºAsuntos!E13," - ")</f>
        <v>0.89492753623188404</v>
      </c>
      <c r="AM13" s="1020">
        <f>IF(ISNUMBER(((NºAsuntos!I13/NºAsuntos!G13)*11)/factor_trimestre),((NºAsuntos!I13/NºAsuntos!G13)*11)/factor_trimestre," - ")</f>
        <v>8.3198380566801617</v>
      </c>
      <c r="AN13" s="1021">
        <f>IF(ISNUMBER('Resol  Asuntos'!D13/NºAsuntos!G13),'Resol  Asuntos'!D13/NºAsuntos!G13," - ")</f>
        <v>0.17813765182186234</v>
      </c>
      <c r="AO13" s="1022">
        <f>IF(ISNUMBER((NºAsuntos!C13+NºAsuntos!E13)/NºAsuntos!G13),(NºAsuntos!C13+NºAsuntos!E13)/NºAsuntos!G13," - ")</f>
        <v>3.7732793522267207</v>
      </c>
      <c r="AP13" s="1023" t="str">
        <f t="shared" si="2"/>
        <v xml:space="preserve"> - </v>
      </c>
      <c r="AQ13" s="1023">
        <f>IF(ISNUMBER((H13-W13+K13)/(F13)),(H13-W13+K13)/(F13)," - ")</f>
        <v>-0.25</v>
      </c>
      <c r="AR13" s="1024">
        <f>IF(ISNUMBER((Datos!P13-Datos!Q13)/(Datos!R13-Datos!P13+Datos!Q13)),(Datos!P13-Datos!Q13)/(Datos!R13-Datos!P13+Datos!Q13)," - ")</f>
        <v>5.9202059202059204E-2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324</v>
      </c>
      <c r="G16" s="342">
        <f>IF(ISNUMBER(IF(D_I="SI",Datos!I16,Datos!I16+Datos!AC16)),IF(D_I="SI",Datos!I16,Datos!I16+Datos!AC16)," - ")</f>
        <v>324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181</v>
      </c>
      <c r="X16" s="230">
        <f>IF(ISNUMBER(Datos!Q16),Datos!Q16," - ")</f>
        <v>7</v>
      </c>
      <c r="Y16" s="343">
        <f t="shared" ref="Y16:Y17" si="7">SUM(W16:X16)</f>
        <v>188</v>
      </c>
      <c r="Z16" s="344" t="str">
        <f>IF(ISNUMBER(Datos!CC16),Datos!CC16," - ")</f>
        <v xml:space="preserve"> - </v>
      </c>
      <c r="AA16" s="341">
        <f>IF(ISNUMBER(IF(D_I="SI",Datos!L16,Datos!L16+Datos!AF16)),IF(D_I="SI",Datos!L16,Datos!L16+Datos!AF16)," - ")</f>
        <v>324</v>
      </c>
      <c r="AB16" s="343">
        <f>IF(ISNUMBER(Datos!R16),Datos!R16," - ")</f>
        <v>28</v>
      </c>
      <c r="AC16" s="343">
        <f t="shared" si="6"/>
        <v>352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39</v>
      </c>
      <c r="AJ16" s="235" t="str">
        <f>IF(ISNUMBER(Datos!BW16),Datos!BW16," - ")</f>
        <v xml:space="preserve"> - </v>
      </c>
      <c r="AK16" s="236" t="str">
        <f>IF(ISNUMBER(Datos!BX16),Datos!BX16," - ")</f>
        <v xml:space="preserve"> - </v>
      </c>
      <c r="AL16" s="247">
        <f>IF(ISNUMBER(NºAsuntos!G16/NºAsuntos!E16),NºAsuntos!G16/NºAsuntos!E16," - ")</f>
        <v>1</v>
      </c>
      <c r="AM16" s="264">
        <f>IF(ISNUMBER(((NºAsuntos!I16/NºAsuntos!G16)*11)/factor_trimestre),((NºAsuntos!I16/NºAsuntos!G16)*11)/factor_trimestre," - ")</f>
        <v>5.3701657458563536</v>
      </c>
      <c r="AN16" s="248">
        <f>IF(ISNUMBER('Resol  Asuntos'!D16/NºAsuntos!G16),'Resol  Asuntos'!D16/NºAsuntos!G16," - ")</f>
        <v>0.21546961325966851</v>
      </c>
      <c r="AO16" s="249">
        <f>IF(ISNUMBER((NºAsuntos!C16+NºAsuntos!E16)/NºAsuntos!G16),(NºAsuntos!C16+NºAsuntos!E16)/NºAsuntos!G16," - ")</f>
        <v>2.7900552486187844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19</v>
      </c>
      <c r="X17" s="230">
        <f>IF(ISNUMBER(Datos!Q17),Datos!Q17," - ")</f>
        <v>0</v>
      </c>
      <c r="Y17" s="343">
        <f t="shared" si="7"/>
        <v>19</v>
      </c>
      <c r="Z17" s="344" t="str">
        <f>IF(ISNUMBER(Datos!CC17),Datos!CC17," - ")</f>
        <v xml:space="preserve"> - </v>
      </c>
      <c r="AA17" s="341">
        <f>IF(ISNUMBER(Datos!L17),Datos!L17,"-")</f>
        <v>27</v>
      </c>
      <c r="AB17" s="343">
        <f>IF(ISNUMBER(Datos!R17),Datos!R17," - ")</f>
        <v>0</v>
      </c>
      <c r="AC17" s="343">
        <f t="shared" si="6"/>
        <v>27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1.2666666666666666</v>
      </c>
      <c r="AM17" s="264">
        <f>IF(ISNUMBER(((NºAsuntos!I17/NºAsuntos!G17)*11)/factor_trimestre),((NºAsuntos!I17/NºAsuntos!G17)*11)/factor_trimestre," - ")</f>
        <v>4.2631578947368425</v>
      </c>
      <c r="AN17" s="248">
        <f>IF(ISNUMBER('Resol  Asuntos'!D17/NºAsuntos!G17),'Resol  Asuntos'!D17/NºAsuntos!G17," - ")</f>
        <v>0.10526315789473684</v>
      </c>
      <c r="AO17" s="249">
        <f>IF(ISNUMBER((NºAsuntos!C17+NºAsuntos!E17)/NºAsuntos!G17),(NºAsuntos!C17+NºAsuntos!E17)/NºAsuntos!G17," - ")</f>
        <v>2.4210526315789473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324</v>
      </c>
      <c r="G18" s="1012">
        <f>SUBTOTAL(9,G15:G17)</f>
        <v>355</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200</v>
      </c>
      <c r="X18" s="1013">
        <f t="shared" si="11"/>
        <v>7</v>
      </c>
      <c r="Y18" s="1014">
        <f t="shared" si="11"/>
        <v>207</v>
      </c>
      <c r="Z18" s="1014">
        <f t="shared" si="11"/>
        <v>0</v>
      </c>
      <c r="AA18" s="1014">
        <f t="shared" si="11"/>
        <v>351</v>
      </c>
      <c r="AB18" s="1014">
        <f t="shared" si="11"/>
        <v>28</v>
      </c>
      <c r="AC18" s="1014">
        <f t="shared" si="11"/>
        <v>379</v>
      </c>
      <c r="AD18" s="1014">
        <f t="shared" si="11"/>
        <v>0</v>
      </c>
      <c r="AE18" s="1018">
        <f t="shared" si="11"/>
        <v>0</v>
      </c>
      <c r="AF18" s="1011">
        <f t="shared" si="11"/>
        <v>0</v>
      </c>
      <c r="AG18" s="1019">
        <f t="shared" si="11"/>
        <v>0</v>
      </c>
      <c r="AH18" s="1016">
        <f t="shared" si="11"/>
        <v>0</v>
      </c>
      <c r="AI18" s="1011">
        <f t="shared" si="11"/>
        <v>41</v>
      </c>
      <c r="AJ18" s="1013">
        <f t="shared" si="11"/>
        <v>0</v>
      </c>
      <c r="AK18" s="1016">
        <f t="shared" si="11"/>
        <v>0</v>
      </c>
      <c r="AL18" s="1020">
        <f>IF(ISNUMBER(NºAsuntos!G18/NºAsuntos!E18),NºAsuntos!G18/NºAsuntos!E18," - ")</f>
        <v>1.0204081632653061</v>
      </c>
      <c r="AM18" s="1020">
        <f>IF(ISNUMBER(((NºAsuntos!I18/NºAsuntos!G18)*11)/factor_trimestre),((NºAsuntos!I18/NºAsuntos!G18)*11)/factor_trimestre," - ")</f>
        <v>5.2650000000000006</v>
      </c>
      <c r="AN18" s="1021">
        <f>IF(ISNUMBER('Resol  Asuntos'!D18/NºAsuntos!G18),'Resol  Asuntos'!D18/NºAsuntos!G18," - ")</f>
        <v>0.20499999999999999</v>
      </c>
      <c r="AO18" s="1022">
        <f>IF(ISNUMBER((NºAsuntos!C18+NºAsuntos!E18)/NºAsuntos!G18),(NºAsuntos!C18+NºAsuntos!E18)/NºAsuntos!G18," - ")</f>
        <v>2.7549999999999999</v>
      </c>
      <c r="AP18" s="1023" t="str">
        <f t="shared" si="2"/>
        <v xml:space="preserve"> - </v>
      </c>
      <c r="AQ18" s="1023">
        <f>IF(ISNUMBER((H18-W18+K18)/(F18)),(H18-W18+K18)/(F18)," - ")</f>
        <v>-0.61728395061728392</v>
      </c>
      <c r="AR18" s="1024">
        <f>IF(ISNUMBER((Datos!P18-Datos!Q18)/(Datos!R18-Datos!P18+Datos!Q18)),(Datos!P18-Datos!Q18)/(Datos!R18-Datos!P18+Datos!Q18)," - ")</f>
        <v>-0.2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328</v>
      </c>
      <c r="G19" s="967">
        <f t="shared" si="13"/>
        <v>359</v>
      </c>
      <c r="H19" s="966">
        <f t="shared" si="13"/>
        <v>0</v>
      </c>
      <c r="I19" s="968">
        <f t="shared" si="13"/>
        <v>0</v>
      </c>
      <c r="J19" s="968">
        <f t="shared" si="13"/>
        <v>0</v>
      </c>
      <c r="K19" s="1027">
        <f t="shared" si="13"/>
        <v>0</v>
      </c>
      <c r="L19" s="968">
        <f t="shared" si="13"/>
        <v>51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201</v>
      </c>
      <c r="X19" s="967">
        <f t="shared" si="14"/>
        <v>12</v>
      </c>
      <c r="Y19" s="974">
        <f t="shared" si="14"/>
        <v>213</v>
      </c>
      <c r="Z19" s="974">
        <f t="shared" si="14"/>
        <v>0</v>
      </c>
      <c r="AA19" s="974">
        <f t="shared" si="14"/>
        <v>355</v>
      </c>
      <c r="AB19" s="974">
        <f t="shared" si="14"/>
        <v>851</v>
      </c>
      <c r="AC19" s="974">
        <f t="shared" si="14"/>
        <v>383</v>
      </c>
      <c r="AD19" s="974">
        <f t="shared" si="14"/>
        <v>0</v>
      </c>
      <c r="AE19" s="976">
        <f t="shared" si="14"/>
        <v>0</v>
      </c>
      <c r="AF19" s="977">
        <f t="shared" si="14"/>
        <v>0</v>
      </c>
      <c r="AG19" s="978">
        <f t="shared" si="14"/>
        <v>0</v>
      </c>
      <c r="AH19" s="976">
        <f t="shared" si="14"/>
        <v>0</v>
      </c>
      <c r="AI19" s="966">
        <f t="shared" si="14"/>
        <v>85</v>
      </c>
      <c r="AJ19" s="966">
        <f t="shared" si="14"/>
        <v>0</v>
      </c>
      <c r="AK19" s="976">
        <f t="shared" si="14"/>
        <v>0</v>
      </c>
      <c r="AL19" s="1030">
        <f>IF(ISNUMBER(NºAsuntos!G19/NºAsuntos!E19),NºAsuntos!G19/NºAsuntos!E19," - ")</f>
        <v>0.94703389830508478</v>
      </c>
      <c r="AM19" s="1031">
        <f>IF(ISNUMBER(((NºAsuntos!I19/NºAsuntos!G19)*11)/factor_trimestre),((NºAsuntos!I19/NºAsuntos!G19)*11)/factor_trimestre," - ")</f>
        <v>6.9530201342281872</v>
      </c>
      <c r="AN19" s="1031">
        <f>IF(ISNUMBER('Resol  Asuntos'!D19/NºAsuntos!G19),'Resol  Asuntos'!D19/NºAsuntos!G19," - ")</f>
        <v>0.19015659955257272</v>
      </c>
      <c r="AO19" s="1032">
        <f>IF(ISNUMBER((NºAsuntos!C19+NºAsuntos!E19)/NºAsuntos!G19),(NºAsuntos!C19+NºAsuntos!E19)/NºAsuntos!G19," - ")</f>
        <v>3.3176733780760626</v>
      </c>
      <c r="AP19" s="1033" t="str">
        <f t="shared" si="2"/>
        <v xml:space="preserve"> - </v>
      </c>
      <c r="AQ19" s="1034">
        <f>IF(OR(ISNUMBER(FIND("01",Criterios!A8,1)),ISNUMBER(FIND("02",Criterios!A8,1)),ISNUMBER(FIND("03",Criterios!A8,1)),ISNUMBER(FIND("04",Criterios!A8,1))),(I19-W19+K19)/(F19-K19),(H19-W19+K19)/(F19-K19))</f>
        <v>-0.61280487804878048</v>
      </c>
      <c r="AR19" s="1035">
        <f>IF(ISNUMBER((Datos!P19-Datos!Q19)/(Datos!R19-Datos!P19+Datos!Q19)),(Datos!P19-Datos!Q19)/(Datos!R19-Datos!P19+Datos!Q19)," - ")</f>
        <v>4.8029556650246302E-2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143.6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184.75208614068026</v>
      </c>
      <c r="G21" s="257">
        <f>IF(ISNUMBER(STDEV(G8:G18)),STDEV(G8:G18),"-")</f>
        <v>179.50571021558059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100.9990098961371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21.266562173202011</v>
      </c>
      <c r="AJ21" s="256">
        <f t="shared" si="18"/>
        <v>0</v>
      </c>
      <c r="AK21" s="258">
        <f t="shared" si="18"/>
        <v>0</v>
      </c>
      <c r="AL21" s="253">
        <f t="shared" si="18"/>
        <v>0.13617040297294924</v>
      </c>
      <c r="AM21" s="254">
        <f t="shared" si="18"/>
        <v>2.8710611375759689</v>
      </c>
      <c r="AN21" s="254">
        <f t="shared" si="18"/>
        <v>8.1716203421502903E-2</v>
      </c>
      <c r="AO21" s="255">
        <f t="shared" si="18"/>
        <v>0.95702037919198979</v>
      </c>
      <c r="AP21" s="295" t="str">
        <f t="shared" si="18"/>
        <v>-</v>
      </c>
      <c r="AQ21" s="296">
        <f t="shared" si="18"/>
        <v>0.25970897210246646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GIzeBiuXuX3wM6pGaI4ssS3CXFGXM9uOf8LUzi0Q7P8YeWMxvj1EVYz5XNK27bedDwYGKCu4zlhHI9NEqe6V1w==" saltValue="dMbqLlFMXug1Q0xyDLkY2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LUGO</v>
      </c>
      <c r="E3" s="267"/>
    </row>
    <row r="4" spans="2:20" ht="17.25" customHeight="1" thickBot="1">
      <c r="D4" s="266" t="str">
        <f>Criterios!A11 &amp;"  "&amp;Criterios!B11</f>
        <v>Resumenes por Partidos Judiciales  CHANTADA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0.33333333333333331</v>
      </c>
      <c r="E10" s="357">
        <f>IF(ISNUMBER((Datos!J10-Datos!T10)/Datos!T10),(Datos!J10-Datos!T10)/Datos!T10," - ")</f>
        <v>0</v>
      </c>
      <c r="F10" s="357" t="str">
        <f>IF(ISNUMBER((Datos!K10-Datos!U10)/Datos!U10),(Datos!K10-Datos!U10)/Datos!U10," - ")</f>
        <v xml:space="preserve"> - </v>
      </c>
      <c r="G10" s="358">
        <f>IF(ISNUMBER((Datos!L10-Datos!V10)/Datos!V10),(Datos!L10-Datos!V10)/Datos!V10," - ")</f>
        <v>0</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-0.40540540540540543</v>
      </c>
      <c r="I12" s="359">
        <f>IF(ISNUMBER((Tasas!C12-Datos!BE12)/Datos!BE12),(Tasas!C12-Datos!BE12)/Datos!BE12," - ")</f>
        <v>0.49622296830255735</v>
      </c>
      <c r="J12" s="358">
        <f>IF(ISNUMBER((Tasas!D12-Datos!BF12)/Datos!BF12),(Tasas!D12-Datos!BF12)/Datos!BF12," - ")</f>
        <v>-0.19057461761058292</v>
      </c>
      <c r="K12" s="360">
        <f>IF(ISNUMBER((Tasas!E12-Datos!BG12)/Datos!BG12),(Tasas!E12-Datos!BG12)/Datos!BG12," - ")</f>
        <v>0.32212108586263249</v>
      </c>
      <c r="M12" t="e">
        <f>IF(Monitorios="SI",Datos!CE12,0)</f>
        <v>#REF!</v>
      </c>
      <c r="N12" t="e">
        <f>IF(Monitorios="SI",Datos!CF12,0)</f>
        <v>#REF!</v>
      </c>
      <c r="O12" t="e">
        <f>IF(Monitorios="SI",Datos!CG12,0)</f>
        <v>#REF!</v>
      </c>
      <c r="P12" t="e">
        <f>IF(Monitorios="SI",Datos!CH12,0)</f>
        <v>#REF!</v>
      </c>
      <c r="Q12">
        <f>IF(J_V="SI",0,Datos!AG12)</f>
        <v>51</v>
      </c>
      <c r="R12">
        <f>IF(J_V="SI",0,Datos!AH12)</f>
        <v>45</v>
      </c>
      <c r="S12">
        <f>IF(J_V="SI",0,Datos!AI12)</f>
        <v>40</v>
      </c>
      <c r="T12">
        <f>IF(J_V="SI",0,Datos!AJ12)</f>
        <v>56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-0.40540540540540543</v>
      </c>
      <c r="I13" s="366">
        <f>IF(ISNUMBER((Tasas!C13-Datos!BE13)/Datos!BE13),(Tasas!C13-Datos!BE13)/Datos!BE13," - ")</f>
        <v>0.48687868884444674</v>
      </c>
      <c r="J13" s="364">
        <f>IF(ISNUMBER((Tasas!D13-Datos!BF13)/Datos!BF13),(Tasas!D13-Datos!BF13)/Datos!BF13," - ")</f>
        <v>-0.19385164345021624</v>
      </c>
      <c r="K13" s="367">
        <f>IF(ISNUMBER((Tasas!E13-Datos!BG13)/Datos!BG13),(Tasas!E13-Datos!BG13)/Datos!BG13," - ")</f>
        <v>0.31694847979677698</v>
      </c>
      <c r="M13" t="e">
        <f>IF(Monitorios="SI",Datos!CE13,0)</f>
        <v>#REF!</v>
      </c>
      <c r="N13" t="e">
        <f>IF(Monitorios="SI",Datos!CF13,0)</f>
        <v>#REF!</v>
      </c>
      <c r="O13" t="e">
        <f>IF(Monitorios="SI",Datos!CG13,0)</f>
        <v>#REF!</v>
      </c>
      <c r="P13" t="e">
        <f>IF(Monitorios="SI",Datos!CH13,0)</f>
        <v>#REF!</v>
      </c>
      <c r="Q13">
        <f>IF(J_V="SI",0,Datos!AG13)</f>
        <v>51</v>
      </c>
      <c r="R13">
        <f>IF(J_V="SI",0,Datos!AH13)</f>
        <v>45</v>
      </c>
      <c r="S13">
        <f>IF(J_V="SI",0,Datos!AI13)</f>
        <v>40</v>
      </c>
      <c r="T13">
        <f>IF(J_V="SI",0,Datos!AJ13)</f>
        <v>56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-0.10497237569060773</v>
      </c>
      <c r="E16" s="357">
        <f>IF(ISNUMBER(
   IF(D_I="SI",(Datos!J16-Datos!T16)/Datos!T16,(Datos!J16+Datos!AD16-(Datos!T16+Datos!AL16))/(Datos!T16+Datos!AL16))
     ),IF(D_I="SI",(Datos!J16-Datos!T16)/Datos!T16,(Datos!J16+Datos!AD16-(Datos!T16+Datos!AL16))/(Datos!T16+Datos!AL16))," - ")</f>
        <v>0.25694444444444442</v>
      </c>
      <c r="F16" s="357">
        <f>IF(ISNUMBER(
   IF(D_I="SI",(Datos!K16-Datos!U16)/Datos!U16,(Datos!K16+Datos!AE16-(Datos!U16+Datos!AM16))/(Datos!U16+Datos!AM16))
     ),IF(D_I="SI",(Datos!K16-Datos!U16)/Datos!U16,(Datos!K16+Datos!AE16-(Datos!U16+Datos!AM16))/(Datos!U16+Datos!AM16))," - ")</f>
        <v>0.30215827338129497</v>
      </c>
      <c r="G16" s="358">
        <f>IF(ISNUMBER(
   IF(D_I="SI",(Datos!L16-Datos!V16)/Datos!V16,(Datos!L16+Datos!AF16-(Datos!V16+Datos!AN16))/(Datos!V16+Datos!AN16))
     ),IF(D_I="SI",(Datos!L16-Datos!V16)/Datos!V16,(Datos!L16+Datos!AF16-(Datos!V16+Datos!AN16))/(Datos!V16+Datos!AN16))," - ")</f>
        <v>-0.11716621253405994</v>
      </c>
      <c r="H16" s="234">
        <f>IF(ISNUMBER((Datos!M16-Datos!W16)/Datos!W16),(Datos!M16-Datos!W16)/Datos!W16," - ")</f>
        <v>0.69565217391304346</v>
      </c>
      <c r="I16" s="359">
        <f>IF(ISNUMBER((Tasas!C16-Datos!BE16)/Datos!BE16),(Tasas!C16-Datos!BE16)/Datos!BE16," - ")</f>
        <v>-0.32202267150405706</v>
      </c>
      <c r="J16" s="358">
        <f>IF(ISNUMBER((Tasas!D16-Datos!BF16)/Datos!BF16),(Tasas!D16-Datos!BF16)/Datos!BF16," - ")</f>
        <v>0.30218592361277929</v>
      </c>
      <c r="K16" s="360">
        <f>IF(ISNUMBER((Tasas!E16-Datos!BG16)/Datos!BG16),(Tasas!E16-Datos!BG16)/Datos!BG16," - ")</f>
        <v>-0.23356189810669756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0.34782608695652173</v>
      </c>
      <c r="E17" s="357">
        <f>IF(ISNUMBER(
   IF(D_I="SI",(Datos!J17-Datos!T17)/Datos!T17,(Datos!J17+Datos!AD17-(Datos!T17+Datos!AL17))/(Datos!T17+Datos!AL17))
     ),IF(D_I="SI",(Datos!J17-Datos!T17)/Datos!T17,(Datos!J17+Datos!AD17-(Datos!T17+Datos!AL17))/(Datos!T17+Datos!AL17))," - ")</f>
        <v>1.1428571428571428</v>
      </c>
      <c r="F17" s="357">
        <f>IF(ISNUMBER(
   IF(D_I="SI",(Datos!K17-Datos!U17)/Datos!U17,(Datos!K17+Datos!AE17-(Datos!U17+Datos!AM17))/(Datos!U17+Datos!AM17))
     ),IF(D_I="SI",(Datos!K17-Datos!U17)/Datos!U17,(Datos!K17+Datos!AE17-(Datos!U17+Datos!AM17))/(Datos!U17+Datos!AM17))," - ")</f>
        <v>2.1666666666666665</v>
      </c>
      <c r="G17" s="358">
        <f>IF(ISNUMBER(
   IF(D_I="SI",(Datos!L17-Datos!V17)/Datos!V17,(Datos!L17+Datos!AF17-(Datos!V17+Datos!AN17))/(Datos!V17+Datos!AN17))
     ),IF(D_I="SI",(Datos!L17-Datos!V17)/Datos!V17,(Datos!L17+Datos!AF17-(Datos!V17+Datos!AN17))/(Datos!V17+Datos!AN17))," - ")</f>
        <v>0.125</v>
      </c>
      <c r="H17" s="234" t="str">
        <f>IF(ISNUMBER((Datos!M17-Datos!W17)/Datos!W17),(Datos!M17-Datos!W17)/Datos!W17," - ")</f>
        <v xml:space="preserve"> - </v>
      </c>
      <c r="I17" s="359">
        <f>IF(ISNUMBER((Tasas!C17-Datos!BE17)/Datos!BE17),(Tasas!C17-Datos!BE17)/Datos!BE17," - ")</f>
        <v>-0.64473684210526316</v>
      </c>
      <c r="J17" s="358" t="str">
        <f>IF(ISNUMBER((Tasas!D17-Datos!BF17)/Datos!BF17),(Tasas!D17-Datos!BF17)/Datos!BF17," - ")</f>
        <v xml:space="preserve"> - </v>
      </c>
      <c r="K17" s="360">
        <f>IF(ISNUMBER((Tasas!E17-Datos!BG17)/Datos!BG17),(Tasas!E17-Datos!BG17)/Datos!BG17," - ")</f>
        <v>-0.51578947368421058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-7.792207792207792E-2</v>
      </c>
      <c r="E18" s="363">
        <f>IF(ISNUMBER(
   IF(D_I="SI",(Datos!J18-Datos!T18)/Datos!T18,(Datos!J18+Datos!AD18-(Datos!T18+Datos!AL18))/(Datos!T18+Datos!AL18))
     ),IF(D_I="SI",(Datos!J18-Datos!T18)/Datos!T18,(Datos!J18+Datos!AD18-(Datos!T18+Datos!AL18))/(Datos!T18+Datos!AL18))," - ")</f>
        <v>0.29801324503311261</v>
      </c>
      <c r="F18" s="363">
        <f>IF(ISNUMBER(
   IF(D_I="SI",(Datos!K18-Datos!U18)/Datos!U18,(Datos!K18+Datos!AE18-(Datos!U18+Datos!AM18))/(Datos!U18+Datos!AM18))
     ),IF(D_I="SI",(Datos!K18-Datos!U18)/Datos!U18,(Datos!K18+Datos!AE18-(Datos!U18+Datos!AM18))/(Datos!U18+Datos!AM18))," - ")</f>
        <v>0.37931034482758619</v>
      </c>
      <c r="G18" s="364">
        <f>IF(ISNUMBER(
   IF(D_I="SI",(Datos!L18-Datos!V18)/Datos!V18,(Datos!L18+Datos!AF18-(Datos!V18+Datos!AN18))/(Datos!V18+Datos!AN18))
     ),IF(D_I="SI",(Datos!L18-Datos!V18)/Datos!V18,(Datos!L18+Datos!AF18-(Datos!V18+Datos!AN18))/(Datos!V18+Datos!AN18))," - ")</f>
        <v>-0.10230179028132992</v>
      </c>
      <c r="H18" s="365">
        <f>IF(ISNUMBER((Datos!M18-Datos!W18)/Datos!W18),(Datos!M18-Datos!W18)/Datos!W18," - ")</f>
        <v>0.78260869565217395</v>
      </c>
      <c r="I18" s="366">
        <f>IF(ISNUMBER((Tasas!C18-Datos!BE18)/Datos!BE18),(Tasas!C18-Datos!BE18)/Datos!BE18," - ")</f>
        <v>-0.34916879795396422</v>
      </c>
      <c r="J18" s="364">
        <f>IF(ISNUMBER((Tasas!D18-Datos!BF18)/Datos!BF18),(Tasas!D18-Datos!BF18)/Datos!BF18," - ")</f>
        <v>0.2923913043478259</v>
      </c>
      <c r="K18" s="367">
        <f>IF(ISNUMBER((Tasas!E18-Datos!BG18)/Datos!BG18),(Tasas!E18-Datos!BG18)/Datos!BG18," - ")</f>
        <v>-0.25471082089552238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0.13595505617977527</v>
      </c>
      <c r="E19" s="372">
        <f>IF(ISNUMBER(
   IF(J_V="SI",(Datos!J19-Datos!T19)/Datos!T19,(Datos!J19+Datos!Z19-(Datos!T19+Datos!AH19))/(Datos!T19+Datos!AH19))
     ),IF(J_V="SI",(Datos!J19-Datos!T19)/Datos!T19,(Datos!J19+Datos!Z19-(Datos!T19+Datos!AH19))/(Datos!T19+Datos!AH19))," - ")</f>
        <v>0.14841849148418493</v>
      </c>
      <c r="F19" s="372">
        <f>IF(ISNUMBER(
   IF(J_V="SI",(Datos!K19-Datos!U19)/Datos!U19,(Datos!K19+Datos!AA19-(Datos!U19+Datos!AI19))/(Datos!U19+Datos!AI19))
     ),IF(J_V="SI",(Datos!K19-Datos!U19)/Datos!U19,(Datos!K19+Datos!AA19-(Datos!U19+Datos!AI19))/(Datos!U19+Datos!AI19))," - ")</f>
        <v>8.4951456310679616E-2</v>
      </c>
      <c r="G19" s="373">
        <f>IF(ISNUMBER(
   IF(J_V="SI",(Datos!L19-Datos!V19)/Datos!V19,(Datos!L19+Datos!AB19-(Datos!V19+Datos!AJ19))/(Datos!V19+Datos!AJ19))
     ),IF(J_V="SI",(Datos!L19-Datos!V19)/Datos!V19,(Datos!L19+Datos!AB19-(Datos!V19+Datos!AJ19))/(Datos!V19+Datos!AJ19))," - ")</f>
        <v>0.16535433070866143</v>
      </c>
      <c r="H19" s="374">
        <f>IF(ISNUMBER((Datos!M19-Datos!W19)/Datos!W19),(Datos!M19-Datos!W19)/Datos!W19," - ")</f>
        <v>-0.12371134020618557</v>
      </c>
      <c r="I19" s="371">
        <f>IF(ISNUMBER((Tasas!C19-Datos!BE19)/Datos!BE19),(Tasas!C19-Datos!BE19)/Datos!BE19," - ")</f>
        <v>7.4107347319840103E-2</v>
      </c>
      <c r="J19" s="372">
        <f>IF(ISNUMBER((Tasas!D19-Datos!BF19)/Datos!BF19),(Tasas!D19-Datos!BF19)/Datos!BF19," - ")</f>
        <v>-4.4579036394390703E-2</v>
      </c>
      <c r="K19" s="373">
        <f>IF(ISNUMBER((Tasas!E19-Datos!BG19)/Datos!BG19),(Tasas!E19-Datos!BG19)/Datos!BG19," - ")</f>
        <v>5.0639071304640931E-2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0.24974530593518082</v>
      </c>
      <c r="E21" s="282">
        <f t="shared" si="1"/>
        <v>0.49675983113965505</v>
      </c>
      <c r="F21" s="282">
        <f t="shared" si="1"/>
        <v>1.0549081012089929</v>
      </c>
      <c r="G21" s="283">
        <f t="shared" si="1"/>
        <v>0.1119338000268605</v>
      </c>
      <c r="H21" s="289">
        <f t="shared" si="1"/>
        <v>0.66175096217317464</v>
      </c>
      <c r="I21" s="281">
        <f t="shared" si="1"/>
        <v>0.52498486205294403</v>
      </c>
      <c r="J21" s="282">
        <f t="shared" si="1"/>
        <v>0.28264541662152731</v>
      </c>
      <c r="K21" s="283">
        <f t="shared" si="1"/>
        <v>0.37518060748721455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L6twjbc1x690sFkDZPMwcpboOn6HUsF1tH1+pQNNwE5tjYkQiqsxmNOfaxL+UcMG9MlFggflpGSyVw7R9ThOg==" saltValue="HjsTt4czaRCk106c9sPrY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